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525" tabRatio="601" activeTab="0"/>
  </bookViews>
  <sheets>
    <sheet name="127 на 01.01.12г. " sheetId="1" r:id="rId1"/>
  </sheets>
  <definedNames>
    <definedName name="_xlnm.Print_Area" localSheetId="0">'127 на 01.01.12г. '!$A$1:$K$98</definedName>
  </definedNames>
  <calcPr fullCalcOnLoad="1"/>
</workbook>
</file>

<file path=xl/sharedStrings.xml><?xml version="1.0" encoding="utf-8"?>
<sst xmlns="http://schemas.openxmlformats.org/spreadsheetml/2006/main" count="281" uniqueCount="139">
  <si>
    <t>коды</t>
  </si>
  <si>
    <t xml:space="preserve">Форма по ОКУД   </t>
  </si>
  <si>
    <t>0503127</t>
  </si>
  <si>
    <t xml:space="preserve">Дата   </t>
  </si>
  <si>
    <t xml:space="preserve">по ОКПО   </t>
  </si>
  <si>
    <t>43502597</t>
  </si>
  <si>
    <t>Наименование бюджета</t>
  </si>
  <si>
    <t xml:space="preserve"> </t>
  </si>
  <si>
    <t xml:space="preserve">по ОКАТО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</si>
  <si>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</si>
  <si>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</si>
  <si>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</si>
  <si>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</si>
  <si>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</si>
  <si>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</si>
  <si>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</si>
  <si>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</si>
  <si>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</si>
  <si>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Неисполненные назначения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</si>
  <si>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</si>
  <si>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</si>
  <si>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</si>
  <si>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</si>
  <si>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</si>
  <si>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</si>
  <si>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</si>
  <si>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</si>
  <si>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</si>
  <si>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</si>
  <si>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</si>
  <si>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</si>
  <si>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</si>
  <si>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</si>
  <si>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</si>
  <si>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</si>
  <si>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</si>
  <si>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</si>
  <si>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</si>
  <si>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</si>
  <si>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</si>
  <si>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</si>
  <si>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</si>
  <si>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</si>
  <si>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</si>
  <si>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Заработная плата</t>
  </si>
  <si>
    <t>201</t>
  </si>
  <si>
    <t>Прочие выплаты</t>
  </si>
  <si>
    <t>202</t>
  </si>
  <si>
    <t>203</t>
  </si>
  <si>
    <t>Услуги связи</t>
  </si>
  <si>
    <t>204</t>
  </si>
  <si>
    <t>Коммунальные услуги</t>
  </si>
  <si>
    <t>Прочие расходы</t>
  </si>
  <si>
    <t>Увеличение стоимости основных средств</t>
  </si>
  <si>
    <t>Результат исполнения бюджета (дефицит / профицит )</t>
  </si>
  <si>
    <t>450</t>
  </si>
  <si>
    <t>500</t>
  </si>
  <si>
    <t>Источники внутреннего финансирования бюджетов</t>
  </si>
  <si>
    <t>520</t>
  </si>
  <si>
    <t xml:space="preserve">   из них:</t>
  </si>
  <si>
    <t>Источники внешнего финансирования бюджетов</t>
  </si>
  <si>
    <t>620</t>
  </si>
  <si>
    <t xml:space="preserve">   из них</t>
  </si>
  <si>
    <t>Изменение остатков средств</t>
  </si>
  <si>
    <t>700</t>
  </si>
  <si>
    <t>800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</si>
  <si>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</si>
  <si>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</si>
  <si>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</si>
  <si>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</si>
  <si>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</si>
  <si>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</si>
  <si>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</si>
  <si>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</si>
  <si>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</si>
  <si>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</si>
  <si>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</si>
  <si>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</si>
  <si>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</si>
  <si>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</si>
  <si>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Главный бухгалтер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</si>
  <si>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</si>
  <si>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</si>
  <si>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</si>
  <si>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мат. запасов</t>
  </si>
  <si>
    <t>Муниципальное общеобразовательное учреждение "Средняя общеобразовательная школа с углубленным изучением отдельных предметов № 2" г. Всеволожска</t>
  </si>
  <si>
    <t>бюджетные средства</t>
  </si>
  <si>
    <t>через финансовые органы</t>
  </si>
  <si>
    <t>Код дохода по бюджетной классификации</t>
  </si>
  <si>
    <t>Код расхода  
по бюджетной классификации</t>
  </si>
  <si>
    <t>Код источника финансирования
по бюджетной классификации</t>
  </si>
  <si>
    <t>Транспортные услуги</t>
  </si>
  <si>
    <t>С.О. Киселева</t>
  </si>
  <si>
    <t>015 0702 4219900 001 211</t>
  </si>
  <si>
    <t>015 0702 4219900 001 212</t>
  </si>
  <si>
    <t>015 0702 4219900 001 213</t>
  </si>
  <si>
    <t>015 0702 4219900 001 221</t>
  </si>
  <si>
    <t>015 0702 4219900 001 222</t>
  </si>
  <si>
    <t>015 0702 4219900 001 223</t>
  </si>
  <si>
    <t>015 0702 4219900 001 225</t>
  </si>
  <si>
    <t>015 0702 4219900 001 226</t>
  </si>
  <si>
    <t>015 0702 4219900 001 290</t>
  </si>
  <si>
    <t>015 0702 4219900 001 310</t>
  </si>
  <si>
    <t>015 0702 4219900 001 340</t>
  </si>
  <si>
    <r>
      <t xml:space="preserve">015 0709 7950000 500 226 </t>
    </r>
    <r>
      <rPr>
        <b/>
        <sz val="10"/>
        <rFont val="Times New Roman"/>
        <family val="1"/>
      </rPr>
      <t>033</t>
    </r>
  </si>
  <si>
    <r>
      <t xml:space="preserve">015 0709 7950000 500 310 </t>
    </r>
    <r>
      <rPr>
        <b/>
        <sz val="10"/>
        <rFont val="Times New Roman"/>
        <family val="1"/>
      </rPr>
      <t>033</t>
    </r>
  </si>
  <si>
    <r>
      <t xml:space="preserve">015 1003 5058600 005 226 </t>
    </r>
    <r>
      <rPr>
        <b/>
        <sz val="10"/>
        <rFont val="Times New Roman"/>
        <family val="1"/>
      </rPr>
      <t>074</t>
    </r>
  </si>
  <si>
    <r>
      <t xml:space="preserve">015 0702 4219900 001 225 </t>
    </r>
    <r>
      <rPr>
        <b/>
        <sz val="10"/>
        <rFont val="Times New Roman"/>
        <family val="1"/>
      </rPr>
      <t>075</t>
    </r>
  </si>
  <si>
    <r>
      <t xml:space="preserve">015 0709 7950000 500 226 </t>
    </r>
    <r>
      <rPr>
        <b/>
        <sz val="10"/>
        <rFont val="Times New Roman"/>
        <family val="1"/>
      </rPr>
      <t>034</t>
    </r>
  </si>
  <si>
    <r>
      <t xml:space="preserve">015 0702 4219900 001 211 </t>
    </r>
    <r>
      <rPr>
        <b/>
        <sz val="10"/>
        <rFont val="Times New Roman"/>
        <family val="1"/>
      </rPr>
      <t>028</t>
    </r>
  </si>
  <si>
    <r>
      <t xml:space="preserve">015 0702 4219900 001 212 </t>
    </r>
    <r>
      <rPr>
        <b/>
        <sz val="10"/>
        <rFont val="Times New Roman"/>
        <family val="1"/>
      </rPr>
      <t>028</t>
    </r>
  </si>
  <si>
    <r>
      <t xml:space="preserve">015 0702 4219900 001 213 </t>
    </r>
    <r>
      <rPr>
        <b/>
        <sz val="10"/>
        <rFont val="Times New Roman"/>
        <family val="1"/>
      </rPr>
      <t>028</t>
    </r>
  </si>
  <si>
    <r>
      <t xml:space="preserve">015 0702 4219900 001 226 </t>
    </r>
    <r>
      <rPr>
        <b/>
        <sz val="10"/>
        <rFont val="Times New Roman"/>
        <family val="1"/>
      </rPr>
      <t>028</t>
    </r>
  </si>
  <si>
    <r>
      <t xml:space="preserve">015 0702 4219900 001 310 </t>
    </r>
    <r>
      <rPr>
        <b/>
        <sz val="10"/>
        <rFont val="Times New Roman"/>
        <family val="1"/>
      </rPr>
      <t>028</t>
    </r>
  </si>
  <si>
    <r>
      <t xml:space="preserve">015 0702 4219900 001 340 </t>
    </r>
    <r>
      <rPr>
        <b/>
        <sz val="10"/>
        <rFont val="Times New Roman"/>
        <family val="1"/>
      </rPr>
      <t>028</t>
    </r>
  </si>
  <si>
    <r>
      <t xml:space="preserve">015 0709 7950000 500 310 </t>
    </r>
    <r>
      <rPr>
        <b/>
        <sz val="10"/>
        <rFont val="Times New Roman"/>
        <family val="1"/>
      </rPr>
      <t>036</t>
    </r>
  </si>
  <si>
    <r>
      <t xml:space="preserve">015 0702 4219900 001 225 </t>
    </r>
    <r>
      <rPr>
        <b/>
        <sz val="10"/>
        <rFont val="Times New Roman"/>
        <family val="1"/>
      </rPr>
      <t>028</t>
    </r>
  </si>
  <si>
    <t>Директор</t>
  </si>
  <si>
    <t>О.М. Расторгина</t>
  </si>
  <si>
    <t>015 0702 4362100 001 226</t>
  </si>
  <si>
    <t>по 223ст - нет</t>
  </si>
  <si>
    <t>по 225ст. - нет</t>
  </si>
  <si>
    <t>по 340ст - нет</t>
  </si>
  <si>
    <t>Итого</t>
  </si>
  <si>
    <t>на 01 января 2011г.</t>
  </si>
  <si>
    <t>01 | 01 | 12</t>
  </si>
  <si>
    <t>"11" января 2012г.</t>
  </si>
  <si>
    <t>Просроченная кредиторская задолженность на 01.01.2012г.:</t>
  </si>
  <si>
    <t xml:space="preserve">   ОТЧЕТ  ОБ  ИСПОЛНЕНИИ БЮДЖЕТА   
   ГЛАВНОГО РАСПОРЯДИТЕЛЯ, РАСПОРЯДИТЕЛЯ, ПОЛУЧАТЕЛЯ БЮДЖЕТНЫХ СРЕДСТВ,   
    ГЛАВНОГО АДМИНИСТРАТОРА, АДМИНИСТРАТОРА ИСТОЧНИКОВ ФИНАНСИРОВАНИЯ ДЕФИЦИТА БЮДЖЕТА,   
   ГЛАВНОГО АДМИНИСТРАТОРА, АДМИНИСТРАТОРА ДОХОДОВ БЮДЖЕТА</t>
  </si>
  <si>
    <t>Главный распорядитель,распорядитель,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</si>
  <si>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3. Источники финансирования дефицита бюджета</t>
  </si>
  <si>
    <t>Источники финансирования дефицита бюджетов- всего</t>
  </si>
  <si>
    <t>увеличение остатков средств</t>
  </si>
  <si>
    <t>уменьшение остатков средств</t>
  </si>
  <si>
    <t>изменение остатков по расчетам с органами, организующими исполнение бюджетов
(стр.811 + стр.812)</t>
  </si>
  <si>
    <t>Изменение остатков по расчетам          (стр.810 + стр.820)</t>
  </si>
  <si>
    <t>ё</t>
  </si>
  <si>
    <t xml:space="preserve">015 0702 5200900 001 211 </t>
  </si>
  <si>
    <t xml:space="preserve">015 0702 5200900 001 213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</si>
</sst>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49" fontId="5" fillId="24" borderId="21" xfId="0" applyNumberFormat="1" applyFont="1" applyFill="1" applyBorder="1" applyAlignment="1">
      <alignment horizontal="center"/>
    </xf>
    <xf numFmtId="2" fontId="5" fillId="24" borderId="21" xfId="0" applyNumberFormat="1" applyFont="1" applyFill="1" applyBorder="1" applyAlignment="1">
      <alignment horizontal="right"/>
    </xf>
    <xf numFmtId="0" fontId="6" fillId="24" borderId="20" xfId="0" applyFont="1" applyFill="1" applyBorder="1" applyAlignment="1">
      <alignment horizontal="center"/>
    </xf>
    <xf numFmtId="49" fontId="6" fillId="24" borderId="21" xfId="0" applyNumberFormat="1" applyFont="1" applyFill="1" applyBorder="1" applyAlignment="1">
      <alignment horizontal="center"/>
    </xf>
    <xf numFmtId="2" fontId="6" fillId="24" borderId="21" xfId="0" applyNumberFormat="1" applyFont="1" applyFill="1" applyBorder="1" applyAlignment="1">
      <alignment horizontal="right"/>
    </xf>
    <xf numFmtId="0" fontId="6" fillId="24" borderId="21" xfId="0" applyFont="1" applyFill="1" applyBorder="1" applyAlignment="1">
      <alignment horizontal="right"/>
    </xf>
    <xf numFmtId="2" fontId="6" fillId="24" borderId="22" xfId="0" applyNumberFormat="1" applyFont="1" applyFill="1" applyBorder="1" applyAlignment="1">
      <alignment horizontal="right"/>
    </xf>
    <xf numFmtId="0" fontId="6" fillId="24" borderId="21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0" fontId="6" fillId="24" borderId="23" xfId="0" applyFont="1" applyFill="1" applyBorder="1" applyAlignment="1">
      <alignment horizontal="center"/>
    </xf>
    <xf numFmtId="49" fontId="6" fillId="24" borderId="25" xfId="0" applyNumberFormat="1" applyFont="1" applyFill="1" applyBorder="1" applyAlignment="1">
      <alignment horizontal="center"/>
    </xf>
    <xf numFmtId="2" fontId="6" fillId="24" borderId="12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26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24" borderId="27" xfId="0" applyNumberFormat="1" applyFont="1" applyFill="1" applyBorder="1" applyAlignment="1">
      <alignment horizontal="center"/>
    </xf>
    <xf numFmtId="0" fontId="5" fillId="25" borderId="23" xfId="0" applyFont="1" applyFill="1" applyBorder="1" applyAlignment="1">
      <alignment horizontal="center"/>
    </xf>
    <xf numFmtId="49" fontId="5" fillId="25" borderId="28" xfId="0" applyNumberFormat="1" applyFont="1" applyFill="1" applyBorder="1" applyAlignment="1">
      <alignment horizontal="center"/>
    </xf>
    <xf numFmtId="2" fontId="5" fillId="25" borderId="21" xfId="0" applyNumberFormat="1" applyFont="1" applyFill="1" applyBorder="1" applyAlignment="1">
      <alignment horizontal="right"/>
    </xf>
    <xf numFmtId="2" fontId="28" fillId="0" borderId="21" xfId="0" applyNumberFormat="1" applyFont="1" applyBorder="1" applyAlignment="1">
      <alignment horizontal="right"/>
    </xf>
    <xf numFmtId="2" fontId="28" fillId="0" borderId="22" xfId="0" applyNumberFormat="1" applyFont="1" applyBorder="1" applyAlignment="1">
      <alignment horizontal="right"/>
    </xf>
    <xf numFmtId="2" fontId="29" fillId="0" borderId="21" xfId="0" applyNumberFormat="1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2" fontId="28" fillId="0" borderId="21" xfId="0" applyNumberFormat="1" applyFont="1" applyBorder="1" applyAlignment="1">
      <alignment horizontal="center"/>
    </xf>
    <xf numFmtId="2" fontId="28" fillId="25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wrapText="1"/>
    </xf>
    <xf numFmtId="2" fontId="26" fillId="0" borderId="11" xfId="0" applyNumberFormat="1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2" xfId="0" applyFont="1" applyBorder="1" applyAlignment="1">
      <alignment wrapText="1"/>
    </xf>
    <xf numFmtId="0" fontId="6" fillId="24" borderId="32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2" fontId="6" fillId="24" borderId="24" xfId="0" applyNumberFormat="1" applyFont="1" applyFill="1" applyBorder="1" applyAlignment="1">
      <alignment horizontal="right"/>
    </xf>
    <xf numFmtId="0" fontId="5" fillId="25" borderId="32" xfId="0" applyFont="1" applyFill="1" applyBorder="1" applyAlignment="1">
      <alignment wrapText="1"/>
    </xf>
    <xf numFmtId="2" fontId="28" fillId="25" borderId="22" xfId="0" applyNumberFormat="1" applyFont="1" applyFill="1" applyBorder="1" applyAlignment="1">
      <alignment horizontal="right"/>
    </xf>
    <xf numFmtId="0" fontId="2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right"/>
    </xf>
    <xf numFmtId="0" fontId="26" fillId="0" borderId="34" xfId="0" applyFont="1" applyBorder="1" applyAlignment="1">
      <alignment horizontal="right"/>
    </xf>
    <xf numFmtId="0" fontId="2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24" borderId="3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95</xdr:row>
      <xdr:rowOff>0</xdr:rowOff>
    </xdr:from>
    <xdr:to>
      <xdr:col>10</xdr:col>
      <xdr:colOff>209550</xdr:colOff>
      <xdr:row>95</xdr:row>
      <xdr:rowOff>142875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296525" y="19211925"/>
          <a:ext cx="2390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97</xdr:row>
      <xdr:rowOff>0</xdr:rowOff>
    </xdr:from>
    <xdr:to>
      <xdr:col>3</xdr:col>
      <xdr:colOff>752475</xdr:colOff>
      <xdr:row>98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514725" y="19516725"/>
          <a:ext cx="2524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1333500</xdr:colOff>
      <xdr:row>97</xdr:row>
      <xdr:rowOff>0</xdr:rowOff>
    </xdr:from>
    <xdr:to>
      <xdr:col>1</xdr:col>
      <xdr:colOff>304800</xdr:colOff>
      <xdr:row>98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0" y="19516725"/>
          <a:ext cx="1924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1352550</xdr:colOff>
      <xdr:row>93</xdr:row>
      <xdr:rowOff>0</xdr:rowOff>
    </xdr:from>
    <xdr:to>
      <xdr:col>1</xdr:col>
      <xdr:colOff>323850</xdr:colOff>
      <xdr:row>94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52550" y="18907125"/>
          <a:ext cx="1924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752475</xdr:colOff>
      <xdr:row>94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514725" y="18907125"/>
          <a:ext cx="2524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95</xdr:row>
      <xdr:rowOff>0</xdr:rowOff>
    </xdr:from>
    <xdr:to>
      <xdr:col>7</xdr:col>
      <xdr:colOff>819150</xdr:colOff>
      <xdr:row>95</xdr:row>
      <xdr:rowOff>114300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8391525" y="19211925"/>
          <a:ext cx="16383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752475</xdr:colOff>
      <xdr:row>94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3514725" y="18907125"/>
          <a:ext cx="2524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8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2952750" y="82867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1333500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1333500" y="8286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1352550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1" name="Текст 4"/>
        <xdr:cNvSpPr txBox="1">
          <a:spLocks noChangeArrowheads="1"/>
        </xdr:cNvSpPr>
      </xdr:nvSpPr>
      <xdr:spPr>
        <a:xfrm>
          <a:off x="1352550" y="8286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2" name="Текст 5"/>
        <xdr:cNvSpPr txBox="1">
          <a:spLocks noChangeArrowheads="1"/>
        </xdr:cNvSpPr>
      </xdr:nvSpPr>
      <xdr:spPr>
        <a:xfrm>
          <a:off x="2952750" y="82867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3" name="Текст 6"/>
        <xdr:cNvSpPr txBox="1">
          <a:spLocks noChangeArrowheads="1"/>
        </xdr:cNvSpPr>
      </xdr:nvSpPr>
      <xdr:spPr>
        <a:xfrm>
          <a:off x="6257925" y="8286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14" name="Текст 7"/>
        <xdr:cNvSpPr txBox="1">
          <a:spLocks noChangeArrowheads="1"/>
        </xdr:cNvSpPr>
      </xdr:nvSpPr>
      <xdr:spPr>
        <a:xfrm>
          <a:off x="2952750" y="82867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15" name="Текст 1"/>
        <xdr:cNvSpPr txBox="1">
          <a:spLocks noChangeArrowheads="1"/>
        </xdr:cNvSpPr>
      </xdr:nvSpPr>
      <xdr:spPr>
        <a:xfrm>
          <a:off x="528637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8</xdr:col>
      <xdr:colOff>209550</xdr:colOff>
      <xdr:row>36</xdr:row>
      <xdr:rowOff>0</xdr:rowOff>
    </xdr:to>
    <xdr:sp>
      <xdr:nvSpPr>
        <xdr:cNvPr id="16" name="Текст 1"/>
        <xdr:cNvSpPr txBox="1">
          <a:spLocks noChangeArrowheads="1"/>
        </xdr:cNvSpPr>
      </xdr:nvSpPr>
      <xdr:spPr>
        <a:xfrm>
          <a:off x="8391525" y="7800975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752475</xdr:colOff>
      <xdr:row>36</xdr:row>
      <xdr:rowOff>0</xdr:rowOff>
    </xdr:to>
    <xdr:sp>
      <xdr:nvSpPr>
        <xdr:cNvPr id="17" name="Текст 2"/>
        <xdr:cNvSpPr txBox="1">
          <a:spLocks noChangeArrowheads="1"/>
        </xdr:cNvSpPr>
      </xdr:nvSpPr>
      <xdr:spPr>
        <a:xfrm>
          <a:off x="3514725" y="7800975"/>
          <a:ext cx="252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1333500</xdr:colOff>
      <xdr:row>36</xdr:row>
      <xdr:rowOff>0</xdr:rowOff>
    </xdr:from>
    <xdr:to>
      <xdr:col>1</xdr:col>
      <xdr:colOff>304800</xdr:colOff>
      <xdr:row>36</xdr:row>
      <xdr:rowOff>0</xdr:rowOff>
    </xdr:to>
    <xdr:sp>
      <xdr:nvSpPr>
        <xdr:cNvPr id="18" name="Текст 3"/>
        <xdr:cNvSpPr txBox="1">
          <a:spLocks noChangeArrowheads="1"/>
        </xdr:cNvSpPr>
      </xdr:nvSpPr>
      <xdr:spPr>
        <a:xfrm>
          <a:off x="1333500" y="7800975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1352550</xdr:colOff>
      <xdr:row>36</xdr:row>
      <xdr:rowOff>0</xdr:rowOff>
    </xdr:from>
    <xdr:to>
      <xdr:col>1</xdr:col>
      <xdr:colOff>323850</xdr:colOff>
      <xdr:row>36</xdr:row>
      <xdr:rowOff>0</xdr:rowOff>
    </xdr:to>
    <xdr:sp>
      <xdr:nvSpPr>
        <xdr:cNvPr id="19" name="Текст 4"/>
        <xdr:cNvSpPr txBox="1">
          <a:spLocks noChangeArrowheads="1"/>
        </xdr:cNvSpPr>
      </xdr:nvSpPr>
      <xdr:spPr>
        <a:xfrm>
          <a:off x="1352550" y="7800975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752475</xdr:colOff>
      <xdr:row>36</xdr:row>
      <xdr:rowOff>0</xdr:rowOff>
    </xdr:to>
    <xdr:sp>
      <xdr:nvSpPr>
        <xdr:cNvPr id="20" name="Текст 5"/>
        <xdr:cNvSpPr txBox="1">
          <a:spLocks noChangeArrowheads="1"/>
        </xdr:cNvSpPr>
      </xdr:nvSpPr>
      <xdr:spPr>
        <a:xfrm>
          <a:off x="3514725" y="7800975"/>
          <a:ext cx="252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" name="Текст 6"/>
        <xdr:cNvSpPr txBox="1">
          <a:spLocks noChangeArrowheads="1"/>
        </xdr:cNvSpPr>
      </xdr:nvSpPr>
      <xdr:spPr>
        <a:xfrm>
          <a:off x="8391525" y="780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752475</xdr:colOff>
      <xdr:row>36</xdr:row>
      <xdr:rowOff>0</xdr:rowOff>
    </xdr:to>
    <xdr:sp>
      <xdr:nvSpPr>
        <xdr:cNvPr id="22" name="Текст 7"/>
        <xdr:cNvSpPr txBox="1">
          <a:spLocks noChangeArrowheads="1"/>
        </xdr:cNvSpPr>
      </xdr:nvSpPr>
      <xdr:spPr>
        <a:xfrm>
          <a:off x="3514725" y="7800975"/>
          <a:ext cx="2524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23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4" name="Текст 2"/>
        <xdr:cNvSpPr txBox="1">
          <a:spLocks noChangeArrowheads="1"/>
        </xdr:cNvSpPr>
      </xdr:nvSpPr>
      <xdr:spPr>
        <a:xfrm>
          <a:off x="2952750" y="82867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1333500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5" name="Текст 3"/>
        <xdr:cNvSpPr txBox="1">
          <a:spLocks noChangeArrowheads="1"/>
        </xdr:cNvSpPr>
      </xdr:nvSpPr>
      <xdr:spPr>
        <a:xfrm>
          <a:off x="1333500" y="8286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1352550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6" name="Текст 4"/>
        <xdr:cNvSpPr txBox="1">
          <a:spLocks noChangeArrowheads="1"/>
        </xdr:cNvSpPr>
      </xdr:nvSpPr>
      <xdr:spPr>
        <a:xfrm>
          <a:off x="1352550" y="8286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" name="Текст 5"/>
        <xdr:cNvSpPr txBox="1">
          <a:spLocks noChangeArrowheads="1"/>
        </xdr:cNvSpPr>
      </xdr:nvSpPr>
      <xdr:spPr>
        <a:xfrm>
          <a:off x="2952750" y="82867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8" name="Текст 6"/>
        <xdr:cNvSpPr txBox="1">
          <a:spLocks noChangeArrowheads="1"/>
        </xdr:cNvSpPr>
      </xdr:nvSpPr>
      <xdr:spPr>
        <a:xfrm>
          <a:off x="6257925" y="8286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" name="Текст 7"/>
        <xdr:cNvSpPr txBox="1">
          <a:spLocks noChangeArrowheads="1"/>
        </xdr:cNvSpPr>
      </xdr:nvSpPr>
      <xdr:spPr>
        <a:xfrm>
          <a:off x="2952750" y="82867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30" name="Текст 1"/>
        <xdr:cNvSpPr txBox="1">
          <a:spLocks noChangeArrowheads="1"/>
        </xdr:cNvSpPr>
      </xdr:nvSpPr>
      <xdr:spPr>
        <a:xfrm>
          <a:off x="528637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31" name="Текст 1"/>
        <xdr:cNvSpPr txBox="1">
          <a:spLocks noChangeArrowheads="1"/>
        </xdr:cNvSpPr>
      </xdr:nvSpPr>
      <xdr:spPr>
        <a:xfrm>
          <a:off x="528637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209550</xdr:colOff>
      <xdr:row>39</xdr:row>
      <xdr:rowOff>0</xdr:rowOff>
    </xdr:to>
    <xdr:sp>
      <xdr:nvSpPr>
        <xdr:cNvPr id="32" name="Текст 1"/>
        <xdr:cNvSpPr txBox="1">
          <a:spLocks noChangeArrowheads="1"/>
        </xdr:cNvSpPr>
      </xdr:nvSpPr>
      <xdr:spPr>
        <a:xfrm>
          <a:off x="528637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33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752475</xdr:colOff>
      <xdr:row>36</xdr:row>
      <xdr:rowOff>0</xdr:rowOff>
    </xdr:to>
    <xdr:sp>
      <xdr:nvSpPr>
        <xdr:cNvPr id="34" name="Текст 2"/>
        <xdr:cNvSpPr txBox="1">
          <a:spLocks noChangeArrowheads="1"/>
        </xdr:cNvSpPr>
      </xdr:nvSpPr>
      <xdr:spPr>
        <a:xfrm>
          <a:off x="5286375" y="78009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752475</xdr:colOff>
      <xdr:row>36</xdr:row>
      <xdr:rowOff>0</xdr:rowOff>
    </xdr:to>
    <xdr:sp>
      <xdr:nvSpPr>
        <xdr:cNvPr id="35" name="Текст 5"/>
        <xdr:cNvSpPr txBox="1">
          <a:spLocks noChangeArrowheads="1"/>
        </xdr:cNvSpPr>
      </xdr:nvSpPr>
      <xdr:spPr>
        <a:xfrm>
          <a:off x="5286375" y="78009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752475</xdr:colOff>
      <xdr:row>36</xdr:row>
      <xdr:rowOff>0</xdr:rowOff>
    </xdr:to>
    <xdr:sp>
      <xdr:nvSpPr>
        <xdr:cNvPr id="36" name="Текст 7"/>
        <xdr:cNvSpPr txBox="1">
          <a:spLocks noChangeArrowheads="1"/>
        </xdr:cNvSpPr>
      </xdr:nvSpPr>
      <xdr:spPr>
        <a:xfrm>
          <a:off x="5286375" y="78009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37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38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39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40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752475</xdr:colOff>
      <xdr:row>36</xdr:row>
      <xdr:rowOff>0</xdr:rowOff>
    </xdr:to>
    <xdr:sp>
      <xdr:nvSpPr>
        <xdr:cNvPr id="41" name="Текст 2"/>
        <xdr:cNvSpPr txBox="1">
          <a:spLocks noChangeArrowheads="1"/>
        </xdr:cNvSpPr>
      </xdr:nvSpPr>
      <xdr:spPr>
        <a:xfrm>
          <a:off x="5286375" y="78009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752475</xdr:colOff>
      <xdr:row>36</xdr:row>
      <xdr:rowOff>0</xdr:rowOff>
    </xdr:to>
    <xdr:sp>
      <xdr:nvSpPr>
        <xdr:cNvPr id="42" name="Текст 5"/>
        <xdr:cNvSpPr txBox="1">
          <a:spLocks noChangeArrowheads="1"/>
        </xdr:cNvSpPr>
      </xdr:nvSpPr>
      <xdr:spPr>
        <a:xfrm>
          <a:off x="5286375" y="78009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752475</xdr:colOff>
      <xdr:row>36</xdr:row>
      <xdr:rowOff>0</xdr:rowOff>
    </xdr:to>
    <xdr:sp>
      <xdr:nvSpPr>
        <xdr:cNvPr id="43" name="Текст 7"/>
        <xdr:cNvSpPr txBox="1">
          <a:spLocks noChangeArrowheads="1"/>
        </xdr:cNvSpPr>
      </xdr:nvSpPr>
      <xdr:spPr>
        <a:xfrm>
          <a:off x="5286375" y="78009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44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45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209550</xdr:colOff>
      <xdr:row>39</xdr:row>
      <xdr:rowOff>0</xdr:rowOff>
    </xdr:to>
    <xdr:sp>
      <xdr:nvSpPr>
        <xdr:cNvPr id="46" name="Текст 1"/>
        <xdr:cNvSpPr txBox="1">
          <a:spLocks noChangeArrowheads="1"/>
        </xdr:cNvSpPr>
      </xdr:nvSpPr>
      <xdr:spPr>
        <a:xfrm>
          <a:off x="6257925" y="82867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752475</xdr:colOff>
      <xdr:row>36</xdr:row>
      <xdr:rowOff>0</xdr:rowOff>
    </xdr:to>
    <xdr:sp>
      <xdr:nvSpPr>
        <xdr:cNvPr id="47" name="Текст 2"/>
        <xdr:cNvSpPr txBox="1">
          <a:spLocks noChangeArrowheads="1"/>
        </xdr:cNvSpPr>
      </xdr:nvSpPr>
      <xdr:spPr>
        <a:xfrm>
          <a:off x="6257925" y="7800975"/>
          <a:ext cx="175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752475</xdr:colOff>
      <xdr:row>36</xdr:row>
      <xdr:rowOff>0</xdr:rowOff>
    </xdr:to>
    <xdr:sp>
      <xdr:nvSpPr>
        <xdr:cNvPr id="48" name="Текст 5"/>
        <xdr:cNvSpPr txBox="1">
          <a:spLocks noChangeArrowheads="1"/>
        </xdr:cNvSpPr>
      </xdr:nvSpPr>
      <xdr:spPr>
        <a:xfrm>
          <a:off x="6257925" y="7800975"/>
          <a:ext cx="175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752475</xdr:colOff>
      <xdr:row>36</xdr:row>
      <xdr:rowOff>0</xdr:rowOff>
    </xdr:to>
    <xdr:sp>
      <xdr:nvSpPr>
        <xdr:cNvPr id="49" name="Текст 7"/>
        <xdr:cNvSpPr txBox="1">
          <a:spLocks noChangeArrowheads="1"/>
        </xdr:cNvSpPr>
      </xdr:nvSpPr>
      <xdr:spPr>
        <a:xfrm>
          <a:off x="6257925" y="7800975"/>
          <a:ext cx="1752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100"/>
  <sheetViews>
    <sheetView tabSelected="1" view="pageBreakPreview" zoomScale="60" workbookViewId="0" topLeftCell="A19">
      <selection activeCell="A22" sqref="A22:K65"/>
    </sheetView>
  </sheetViews>
  <sheetFormatPr defaultColWidth="20.875" defaultRowHeight="12.75"/>
  <cols>
    <col min="1" max="1" width="38.75390625" style="3" customWidth="1"/>
    <col min="2" max="2" width="7.375" style="3" customWidth="1"/>
    <col min="3" max="3" width="23.25390625" style="3" customWidth="1"/>
    <col min="4" max="4" width="12.75390625" style="3" customWidth="1"/>
    <col min="5" max="5" width="13.125" style="3" customWidth="1"/>
    <col min="6" max="6" width="14.875" style="3" customWidth="1"/>
    <col min="7" max="7" width="10.75390625" style="3" customWidth="1"/>
    <col min="8" max="8" width="14.25390625" style="3" customWidth="1"/>
    <col min="9" max="9" width="14.75390625" style="3" customWidth="1"/>
    <col min="10" max="10" width="13.875" style="3" customWidth="1"/>
    <col min="11" max="11" width="13.625" style="3" customWidth="1"/>
    <col min="12" max="12" width="13.25390625" style="3" customWidth="1"/>
    <col min="13" max="13" width="13.125" style="3" customWidth="1"/>
    <col min="14" max="16384" width="20.875" style="3" customWidth="1"/>
  </cols>
  <sheetData>
    <row r="1" spans="1:9" ht="12.75" customHeight="1">
      <c r="A1" s="129" t="s">
        <v>128</v>
      </c>
      <c r="B1" s="129"/>
      <c r="C1" s="129"/>
      <c r="D1" s="129"/>
      <c r="E1" s="129"/>
      <c r="F1" s="129"/>
      <c r="G1" s="129"/>
      <c r="I1" s="4" t="s">
        <v>0</v>
      </c>
    </row>
    <row r="2" spans="1:9" ht="55.5" customHeight="1">
      <c r="A2" s="129"/>
      <c r="B2" s="129"/>
      <c r="C2" s="129"/>
      <c r="D2" s="129"/>
      <c r="E2" s="129"/>
      <c r="F2" s="129"/>
      <c r="G2" s="129"/>
      <c r="H2" s="5" t="s">
        <v>1</v>
      </c>
      <c r="I2" s="6" t="s">
        <v>2</v>
      </c>
    </row>
    <row r="3" spans="1:9" ht="12.75">
      <c r="A3" s="127" t="s">
        <v>124</v>
      </c>
      <c r="B3" s="128"/>
      <c r="C3" s="128"/>
      <c r="D3" s="128"/>
      <c r="E3" s="128"/>
      <c r="F3" s="128"/>
      <c r="G3" s="128"/>
      <c r="H3" s="5" t="s">
        <v>3</v>
      </c>
      <c r="I3" s="6" t="s">
        <v>125</v>
      </c>
    </row>
    <row r="4" spans="1:9" ht="12">
      <c r="A4" s="113" t="s">
        <v>129</v>
      </c>
      <c r="B4" s="7"/>
      <c r="C4" s="132" t="s">
        <v>85</v>
      </c>
      <c r="D4" s="132"/>
      <c r="E4" s="132"/>
      <c r="F4" s="132"/>
      <c r="G4" s="132"/>
      <c r="H4" s="5" t="s">
        <v>4</v>
      </c>
      <c r="I4" s="6" t="s">
        <v>5</v>
      </c>
    </row>
    <row r="5" spans="1:9" ht="48" customHeight="1">
      <c r="A5" s="113"/>
      <c r="C5" s="133"/>
      <c r="D5" s="133"/>
      <c r="E5" s="133"/>
      <c r="F5" s="133"/>
      <c r="G5" s="133"/>
      <c r="H5" s="5"/>
      <c r="I5" s="6"/>
    </row>
    <row r="6" spans="1:9" ht="12">
      <c r="A6" s="3" t="s">
        <v>6</v>
      </c>
      <c r="C6" s="134" t="s">
        <v>86</v>
      </c>
      <c r="D6" s="134"/>
      <c r="E6" s="134"/>
      <c r="F6" s="134"/>
      <c r="G6" s="134"/>
      <c r="H6" s="5" t="s">
        <v>8</v>
      </c>
      <c r="I6" s="6" t="s">
        <v>7</v>
      </c>
    </row>
    <row r="7" spans="1:9" ht="12">
      <c r="A7" s="3" t="s">
        <v>9</v>
      </c>
      <c r="I7" s="6"/>
    </row>
    <row r="8" spans="1:9" ht="12">
      <c r="A8" s="3" t="s">
        <v>10</v>
      </c>
      <c r="H8" s="5" t="s">
        <v>11</v>
      </c>
      <c r="I8" s="6" t="s">
        <v>12</v>
      </c>
    </row>
    <row r="9" ht="6" customHeight="1"/>
    <row r="10" spans="1:9" ht="12">
      <c r="A10" s="126" t="s">
        <v>13</v>
      </c>
      <c r="B10" s="126"/>
      <c r="C10" s="126"/>
      <c r="D10" s="126"/>
      <c r="E10" s="126"/>
      <c r="F10" s="126"/>
      <c r="G10" s="126"/>
      <c r="H10" s="126"/>
      <c r="I10" s="126"/>
    </row>
    <row r="11" ht="5.25" customHeight="1"/>
    <row r="12" spans="1:9" ht="40.5" customHeight="1">
      <c r="A12" s="114" t="s">
        <v>14</v>
      </c>
      <c r="B12" s="114" t="s">
        <v>15</v>
      </c>
      <c r="C12" s="116" t="s">
        <v>88</v>
      </c>
      <c r="D12" s="116" t="s">
        <v>16</v>
      </c>
      <c r="E12" s="118" t="s">
        <v>17</v>
      </c>
      <c r="F12" s="118"/>
      <c r="G12" s="118"/>
      <c r="H12" s="118"/>
      <c r="I12" s="111" t="s">
        <v>18</v>
      </c>
    </row>
    <row r="13" spans="1:9" ht="38.25">
      <c r="A13" s="115"/>
      <c r="B13" s="115"/>
      <c r="C13" s="117"/>
      <c r="D13" s="117"/>
      <c r="E13" s="111" t="s">
        <v>87</v>
      </c>
      <c r="F13" s="111" t="s">
        <v>19</v>
      </c>
      <c r="G13" s="111" t="s">
        <v>20</v>
      </c>
      <c r="H13" s="111" t="s">
        <v>21</v>
      </c>
      <c r="I13" s="48"/>
    </row>
    <row r="14" spans="1:9" ht="12.75" thickBot="1">
      <c r="A14" s="8" t="s">
        <v>22</v>
      </c>
      <c r="B14" s="8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8" t="s">
        <v>28</v>
      </c>
      <c r="H14" s="8" t="s">
        <v>29</v>
      </c>
      <c r="I14" s="8" t="s">
        <v>30</v>
      </c>
    </row>
    <row r="15" spans="1:9" ht="12">
      <c r="A15" s="9" t="s">
        <v>31</v>
      </c>
      <c r="B15" s="10" t="s">
        <v>32</v>
      </c>
      <c r="C15" s="11" t="s">
        <v>33</v>
      </c>
      <c r="D15" s="1" t="s">
        <v>34</v>
      </c>
      <c r="E15" s="1" t="s">
        <v>34</v>
      </c>
      <c r="F15" s="1" t="s">
        <v>34</v>
      </c>
      <c r="G15" s="1" t="s">
        <v>34</v>
      </c>
      <c r="H15" s="1" t="s">
        <v>34</v>
      </c>
      <c r="I15" s="2" t="s">
        <v>34</v>
      </c>
    </row>
    <row r="16" spans="1:9" ht="9.75" customHeight="1" thickBot="1">
      <c r="A16" s="12" t="s">
        <v>35</v>
      </c>
      <c r="B16" s="13"/>
      <c r="C16" s="14"/>
      <c r="D16" s="14"/>
      <c r="E16" s="14"/>
      <c r="F16" s="14"/>
      <c r="G16" s="14"/>
      <c r="H16" s="14"/>
      <c r="I16" s="15"/>
    </row>
    <row r="17" spans="1:9" ht="12">
      <c r="A17" s="16"/>
      <c r="B17" s="17"/>
      <c r="C17" s="17"/>
      <c r="D17" s="17"/>
      <c r="E17" s="17"/>
      <c r="F17" s="17"/>
      <c r="G17" s="17"/>
      <c r="H17" s="17"/>
      <c r="I17" s="17"/>
    </row>
    <row r="18" spans="1:9" ht="15.75">
      <c r="A18" s="119" t="s">
        <v>127</v>
      </c>
      <c r="B18" s="120"/>
      <c r="C18" s="120"/>
      <c r="D18" s="84"/>
      <c r="E18" s="84"/>
      <c r="F18" s="84"/>
      <c r="G18" s="84"/>
      <c r="H18" s="84"/>
      <c r="I18" s="84"/>
    </row>
    <row r="19" spans="1:9" ht="12.75">
      <c r="A19" s="85" t="s">
        <v>120</v>
      </c>
      <c r="B19" s="84"/>
      <c r="C19" s="84"/>
      <c r="D19" s="84"/>
      <c r="E19" s="84"/>
      <c r="F19" s="84"/>
      <c r="G19" s="84"/>
      <c r="H19" s="84"/>
      <c r="I19" s="84"/>
    </row>
    <row r="20" spans="1:9" ht="12.75">
      <c r="A20" s="86" t="s">
        <v>121</v>
      </c>
      <c r="B20" s="84"/>
      <c r="C20" s="84"/>
      <c r="D20" s="84"/>
      <c r="E20" s="84"/>
      <c r="F20" s="84"/>
      <c r="G20" s="84"/>
      <c r="H20" s="84"/>
      <c r="I20" s="84"/>
    </row>
    <row r="21" spans="1:9" ht="13.5" thickBot="1">
      <c r="A21" s="87" t="s">
        <v>122</v>
      </c>
      <c r="B21" s="70"/>
      <c r="C21" s="70"/>
      <c r="D21" s="70"/>
      <c r="E21" s="70"/>
      <c r="F21" s="70"/>
      <c r="G21" s="70"/>
      <c r="H21" s="70"/>
      <c r="I21" s="70"/>
    </row>
    <row r="22" spans="1:12" ht="12">
      <c r="A22" s="121" t="s">
        <v>36</v>
      </c>
      <c r="B22" s="122"/>
      <c r="C22" s="122"/>
      <c r="D22" s="122"/>
      <c r="E22" s="122"/>
      <c r="F22" s="122"/>
      <c r="G22" s="122"/>
      <c r="H22" s="122"/>
      <c r="I22" s="122"/>
      <c r="J22" s="17"/>
      <c r="K22" s="88"/>
      <c r="L22" s="125"/>
    </row>
    <row r="23" spans="1:12" ht="5.25" customHeight="1">
      <c r="A23" s="89"/>
      <c r="B23" s="70"/>
      <c r="C23" s="70"/>
      <c r="D23" s="70"/>
      <c r="E23" s="70"/>
      <c r="F23" s="70"/>
      <c r="G23" s="70"/>
      <c r="H23" s="70"/>
      <c r="I23" s="70"/>
      <c r="J23" s="70"/>
      <c r="K23" s="90"/>
      <c r="L23" s="125"/>
    </row>
    <row r="24" spans="1:12" ht="23.25" customHeight="1">
      <c r="A24" s="130" t="s">
        <v>14</v>
      </c>
      <c r="B24" s="116" t="s">
        <v>15</v>
      </c>
      <c r="C24" s="116" t="s">
        <v>89</v>
      </c>
      <c r="D24" s="116" t="s">
        <v>16</v>
      </c>
      <c r="E24" s="116" t="s">
        <v>37</v>
      </c>
      <c r="F24" s="118" t="s">
        <v>17</v>
      </c>
      <c r="G24" s="118"/>
      <c r="H24" s="118"/>
      <c r="I24" s="118"/>
      <c r="J24" s="116" t="s">
        <v>18</v>
      </c>
      <c r="K24" s="124"/>
      <c r="L24" s="125"/>
    </row>
    <row r="25" spans="1:12" ht="50.25" customHeight="1">
      <c r="A25" s="131"/>
      <c r="B25" s="117"/>
      <c r="C25" s="117"/>
      <c r="D25" s="117"/>
      <c r="E25" s="117"/>
      <c r="F25" s="111" t="s">
        <v>87</v>
      </c>
      <c r="G25" s="111" t="s">
        <v>19</v>
      </c>
      <c r="H25" s="111" t="s">
        <v>20</v>
      </c>
      <c r="I25" s="111" t="s">
        <v>21</v>
      </c>
      <c r="J25" s="111" t="s">
        <v>38</v>
      </c>
      <c r="K25" s="110" t="s">
        <v>39</v>
      </c>
      <c r="L25" s="125"/>
    </row>
    <row r="26" spans="1:12" ht="12.75" thickBot="1">
      <c r="A26" s="91" t="s">
        <v>22</v>
      </c>
      <c r="B26" s="8" t="s">
        <v>23</v>
      </c>
      <c r="C26" s="8" t="s">
        <v>24</v>
      </c>
      <c r="D26" s="8" t="s">
        <v>25</v>
      </c>
      <c r="E26" s="8" t="s">
        <v>26</v>
      </c>
      <c r="F26" s="8" t="s">
        <v>27</v>
      </c>
      <c r="G26" s="8" t="s">
        <v>28</v>
      </c>
      <c r="H26" s="8" t="s">
        <v>29</v>
      </c>
      <c r="I26" s="8" t="s">
        <v>30</v>
      </c>
      <c r="J26" s="8" t="s">
        <v>40</v>
      </c>
      <c r="K26" s="92" t="s">
        <v>41</v>
      </c>
      <c r="L26" s="125"/>
    </row>
    <row r="27" spans="1:11" ht="15.75">
      <c r="A27" s="93" t="s">
        <v>42</v>
      </c>
      <c r="B27" s="42" t="s">
        <v>43</v>
      </c>
      <c r="C27" s="43" t="s">
        <v>33</v>
      </c>
      <c r="D27" s="69">
        <f>D40+D48+D51+D53+D56+D58+D60+D62+D64</f>
        <v>41344501.75</v>
      </c>
      <c r="E27" s="69">
        <f>E40+E48+E51+E53+E56+E58+E60+E62+E64</f>
        <v>41344501.75</v>
      </c>
      <c r="F27" s="69">
        <f>F40+F48+F51+F53+F56+F58+F60+F62+F64</f>
        <v>41344501.75000001</v>
      </c>
      <c r="G27" s="69">
        <f>SUM(G28:G61)</f>
        <v>0</v>
      </c>
      <c r="H27" s="69">
        <f>SUM(H28:H61)</f>
        <v>0</v>
      </c>
      <c r="I27" s="69">
        <f>I40+I48+I51+I53+I56+I58+I60+I62+I64</f>
        <v>41344501.75000001</v>
      </c>
      <c r="J27" s="69">
        <f>J40+J48+J51+J53+J56+J58+J60+J62+J64</f>
        <v>0</v>
      </c>
      <c r="K27" s="94">
        <f>K40+K48+K51+K53+K56+K58+K60+K62+K64</f>
        <v>0</v>
      </c>
    </row>
    <row r="28" spans="1:11" ht="12.75">
      <c r="A28" s="95" t="s">
        <v>35</v>
      </c>
      <c r="B28" s="44"/>
      <c r="C28" s="50"/>
      <c r="D28" s="45"/>
      <c r="E28" s="45"/>
      <c r="F28" s="45"/>
      <c r="G28" s="45"/>
      <c r="H28" s="45"/>
      <c r="I28" s="45"/>
      <c r="J28" s="45"/>
      <c r="K28" s="46"/>
    </row>
    <row r="29" spans="1:12" ht="12.75">
      <c r="A29" s="96" t="s">
        <v>44</v>
      </c>
      <c r="B29" s="47" t="s">
        <v>45</v>
      </c>
      <c r="C29" s="49" t="s">
        <v>93</v>
      </c>
      <c r="D29" s="78">
        <f>1179936-38506.15-65576-195140</f>
        <v>880713.8500000001</v>
      </c>
      <c r="E29" s="78">
        <f>233320+388870-38506.15+194430-65576+363316-195140</f>
        <v>880713.8500000001</v>
      </c>
      <c r="F29" s="78">
        <f>23627.94+12579+66152.09+21700+109260.97+63801.16+92688.32+193874.37+32320.01+25599.81-2898+73832.18+33844.43+48798.02+85533.55</f>
        <v>880713.8500000002</v>
      </c>
      <c r="G29" s="78"/>
      <c r="H29" s="78"/>
      <c r="I29" s="78">
        <f aca="true" t="shared" si="0" ref="I29:I39">F29</f>
        <v>880713.8500000002</v>
      </c>
      <c r="J29" s="78">
        <f aca="true" t="shared" si="1" ref="J29:J39">D29-F29</f>
        <v>0</v>
      </c>
      <c r="K29" s="79">
        <f aca="true" t="shared" si="2" ref="K29:K39">E29-F29</f>
        <v>0</v>
      </c>
      <c r="L29" s="72"/>
    </row>
    <row r="30" spans="1:11" ht="12.75">
      <c r="A30" s="96" t="s">
        <v>46</v>
      </c>
      <c r="B30" s="47" t="s">
        <v>47</v>
      </c>
      <c r="C30" s="49" t="s">
        <v>94</v>
      </c>
      <c r="D30" s="78">
        <v>1200</v>
      </c>
      <c r="E30" s="78">
        <f>200+300+300+400</f>
        <v>1200</v>
      </c>
      <c r="F30" s="78">
        <f>200+100+100+100+100+100+100+100+100+200</f>
        <v>1200</v>
      </c>
      <c r="G30" s="78"/>
      <c r="H30" s="78"/>
      <c r="I30" s="78">
        <f t="shared" si="0"/>
        <v>1200</v>
      </c>
      <c r="J30" s="78">
        <f t="shared" si="1"/>
        <v>0</v>
      </c>
      <c r="K30" s="79">
        <f t="shared" si="2"/>
        <v>0</v>
      </c>
    </row>
    <row r="31" spans="1:11" ht="12.75" customHeight="1">
      <c r="A31" s="96" t="s">
        <v>81</v>
      </c>
      <c r="B31" s="47" t="s">
        <v>48</v>
      </c>
      <c r="C31" s="49" t="s">
        <v>95</v>
      </c>
      <c r="D31" s="78">
        <f>403538-13169.1-22427-66738</f>
        <v>301203.9</v>
      </c>
      <c r="E31" s="78">
        <f>66500+126300-13169.1+73180-22427+137558-66738</f>
        <v>301203.9</v>
      </c>
      <c r="F31" s="78">
        <f>0.14+204.7+24386.2+2227.16+2047.18+3173.1+34461.52+31028.72+32112.91+49989.27+34313+5307+11133+18944+18504+33372</f>
        <v>301203.9</v>
      </c>
      <c r="G31" s="80"/>
      <c r="H31" s="78"/>
      <c r="I31" s="78">
        <f t="shared" si="0"/>
        <v>301203.9</v>
      </c>
      <c r="J31" s="78">
        <f t="shared" si="1"/>
        <v>0</v>
      </c>
      <c r="K31" s="79">
        <f t="shared" si="2"/>
        <v>0</v>
      </c>
    </row>
    <row r="32" spans="1:12" ht="12.75">
      <c r="A32" s="96" t="s">
        <v>49</v>
      </c>
      <c r="B32" s="47" t="s">
        <v>50</v>
      </c>
      <c r="C32" s="49" t="s">
        <v>96</v>
      </c>
      <c r="D32" s="78">
        <f>169360+22000+1214.48-3000</f>
        <v>189574.48</v>
      </c>
      <c r="E32" s="78">
        <f>32060+22000+41190+41190+1214.48+54920-3000</f>
        <v>189574.48</v>
      </c>
      <c r="F32" s="78">
        <f>9750+500+43810+16423.57+13184.57+11581.86+15472.39+14094.17+12837.92+15573.74+13822.89+22523.37</f>
        <v>189574.47999999998</v>
      </c>
      <c r="G32" s="78"/>
      <c r="H32" s="78"/>
      <c r="I32" s="78">
        <f t="shared" si="0"/>
        <v>189574.47999999998</v>
      </c>
      <c r="J32" s="78">
        <f t="shared" si="1"/>
        <v>0</v>
      </c>
      <c r="K32" s="79">
        <f t="shared" si="2"/>
        <v>0</v>
      </c>
      <c r="L32" s="72"/>
    </row>
    <row r="33" spans="1:11" ht="12.75">
      <c r="A33" s="96" t="s">
        <v>91</v>
      </c>
      <c r="B33" s="47">
        <v>205</v>
      </c>
      <c r="C33" s="49" t="s">
        <v>97</v>
      </c>
      <c r="D33" s="78">
        <v>0</v>
      </c>
      <c r="E33" s="78">
        <v>0</v>
      </c>
      <c r="F33" s="78">
        <v>0</v>
      </c>
      <c r="G33" s="78"/>
      <c r="H33" s="78"/>
      <c r="I33" s="78">
        <f t="shared" si="0"/>
        <v>0</v>
      </c>
      <c r="J33" s="78">
        <f t="shared" si="1"/>
        <v>0</v>
      </c>
      <c r="K33" s="79">
        <f t="shared" si="2"/>
        <v>0</v>
      </c>
    </row>
    <row r="34" spans="1:11" ht="12.75">
      <c r="A34" s="96" t="s">
        <v>51</v>
      </c>
      <c r="B34" s="47">
        <v>206</v>
      </c>
      <c r="C34" s="49" t="s">
        <v>98</v>
      </c>
      <c r="D34" s="78">
        <f>4980854-456707.26-20678.3-745700</f>
        <v>3757768.4400000004</v>
      </c>
      <c r="E34" s="78">
        <f>1794240+1100968-20678.3-143609.49+299428-120128+1786218-456707.26-481962.51</f>
        <v>3757768.4400000004</v>
      </c>
      <c r="F34" s="81">
        <f>817417.21+117166.77+859656.02+462480.38+306432.67-0.4+66256.88+140215.89+40382.87+100211.92+150419.45+374047.56+323081.22</f>
        <v>3757768.4400000004</v>
      </c>
      <c r="G34" s="78"/>
      <c r="H34" s="78"/>
      <c r="I34" s="78">
        <f t="shared" si="0"/>
        <v>3757768.4400000004</v>
      </c>
      <c r="J34" s="78">
        <f t="shared" si="1"/>
        <v>0</v>
      </c>
      <c r="K34" s="79">
        <f t="shared" si="2"/>
        <v>0</v>
      </c>
    </row>
    <row r="35" spans="1:11" ht="12.75" customHeight="1">
      <c r="A35" s="96" t="s">
        <v>82</v>
      </c>
      <c r="B35" s="47">
        <v>207</v>
      </c>
      <c r="C35" s="49" t="s">
        <v>99</v>
      </c>
      <c r="D35" s="78">
        <f>1366641+104510.36-4859.89-22321.7+45796.59-795173-147607-26310.29+68965</f>
        <v>589641.0700000003</v>
      </c>
      <c r="E35" s="78">
        <f>60653+104510.36+160449-4859.89-22321.7+45796.59+90494+147607-147607-26310.29+1055045-942780+68965</f>
        <v>589641.0700000001</v>
      </c>
      <c r="F35" s="81">
        <f>15217.28+4454.1+776.23+7239.59+12000+9603+115873.16+33961.72+40709.27+104393.01-37796.59+24916.37+41819.82+35244.11+100995.61+30702.99+49531.4</f>
        <v>589641.0700000001</v>
      </c>
      <c r="G35" s="78"/>
      <c r="H35" s="78"/>
      <c r="I35" s="78">
        <f t="shared" si="0"/>
        <v>589641.0700000001</v>
      </c>
      <c r="J35" s="78">
        <f t="shared" si="1"/>
        <v>0</v>
      </c>
      <c r="K35" s="79">
        <f t="shared" si="2"/>
        <v>0</v>
      </c>
    </row>
    <row r="36" spans="1:11" ht="12.75">
      <c r="A36" s="96" t="s">
        <v>83</v>
      </c>
      <c r="B36" s="47">
        <v>208</v>
      </c>
      <c r="C36" s="49" t="s">
        <v>100</v>
      </c>
      <c r="D36" s="78">
        <f>381456+43000+147607-27700+43635</f>
        <v>587998</v>
      </c>
      <c r="E36" s="78">
        <f>80017+125925+43000+70925+147607-27700+104589+43635</f>
        <v>587998</v>
      </c>
      <c r="F36" s="78">
        <f>94.51+1911.77+4212.28+408.47+17.75+501.58+330.76+3000+1580+6000+3403.8+2840.38+108.5+4550+5900+1000+44157.2+79235.34+21297.44+68392.22+20080.51+58499.31+112252.18+94895.73+24643.05+28685.22</f>
        <v>587998</v>
      </c>
      <c r="G36" s="78"/>
      <c r="H36" s="78"/>
      <c r="I36" s="78">
        <f t="shared" si="0"/>
        <v>587998</v>
      </c>
      <c r="J36" s="78">
        <f t="shared" si="1"/>
        <v>0</v>
      </c>
      <c r="K36" s="79">
        <f t="shared" si="2"/>
        <v>0</v>
      </c>
    </row>
    <row r="37" spans="1:13" ht="12.75">
      <c r="A37" s="96" t="s">
        <v>52</v>
      </c>
      <c r="B37" s="47">
        <v>209</v>
      </c>
      <c r="C37" s="49" t="s">
        <v>101</v>
      </c>
      <c r="D37" s="78">
        <f>193035+2150.01+4859.89+101.34+10180.92-160749.68+30600</f>
        <v>80177.48000000004</v>
      </c>
      <c r="E37" s="78">
        <f>2150.01+4859.89+101.34+10180.92+193035-160749.68+30600</f>
        <v>80177.48000000001</v>
      </c>
      <c r="F37" s="78">
        <f>2150.01+4859.89+101.34+10180.92+58385.32+4500</f>
        <v>80177.48</v>
      </c>
      <c r="G37" s="78"/>
      <c r="H37" s="78"/>
      <c r="I37" s="78">
        <f t="shared" si="0"/>
        <v>80177.48</v>
      </c>
      <c r="J37" s="78">
        <f t="shared" si="1"/>
        <v>0</v>
      </c>
      <c r="K37" s="79">
        <f t="shared" si="2"/>
        <v>0</v>
      </c>
      <c r="M37" s="68"/>
    </row>
    <row r="38" spans="1:11" ht="12.75" customHeight="1">
      <c r="A38" s="96" t="s">
        <v>53</v>
      </c>
      <c r="B38" s="47">
        <v>210</v>
      </c>
      <c r="C38" s="49" t="s">
        <v>102</v>
      </c>
      <c r="D38" s="78">
        <f>30000+7639.3-101.34+25434+88003+47526.41</f>
        <v>198501.37000000002</v>
      </c>
      <c r="E38" s="78">
        <f>7639.3+30000-101.34+25434+88003+47526.41</f>
        <v>198501.37000000002</v>
      </c>
      <c r="F38" s="78">
        <f>7639.3+10711.41+19187.25+25434+88003+47526.41</f>
        <v>198501.37</v>
      </c>
      <c r="G38" s="78"/>
      <c r="H38" s="78"/>
      <c r="I38" s="78">
        <f t="shared" si="0"/>
        <v>198501.37</v>
      </c>
      <c r="J38" s="78">
        <f t="shared" si="1"/>
        <v>0</v>
      </c>
      <c r="K38" s="79">
        <f t="shared" si="2"/>
        <v>0</v>
      </c>
    </row>
    <row r="39" spans="1:11" ht="12.75">
      <c r="A39" s="96" t="s">
        <v>84</v>
      </c>
      <c r="B39" s="47">
        <v>211</v>
      </c>
      <c r="C39" s="49" t="s">
        <v>103</v>
      </c>
      <c r="D39" s="78">
        <f>287920-136299.67+5878.66+26959+42614.89+3623.27</f>
        <v>230696.15</v>
      </c>
      <c r="E39" s="78">
        <f>8935+242800-145234.67+5878.66+36480+26959+42614.89+8640+3623.27</f>
        <v>230696.15</v>
      </c>
      <c r="F39" s="78">
        <f>8935+28500+4253.26+70690.73+20000+36868.91+49184.98+3623.27+8640</f>
        <v>230696.15</v>
      </c>
      <c r="G39" s="78"/>
      <c r="H39" s="78"/>
      <c r="I39" s="78">
        <f t="shared" si="0"/>
        <v>230696.15</v>
      </c>
      <c r="J39" s="78">
        <f t="shared" si="1"/>
        <v>0</v>
      </c>
      <c r="K39" s="79">
        <f t="shared" si="2"/>
        <v>0</v>
      </c>
    </row>
    <row r="40" spans="1:11" ht="12.75">
      <c r="A40" s="97" t="s">
        <v>123</v>
      </c>
      <c r="B40" s="55"/>
      <c r="C40" s="56"/>
      <c r="D40" s="57">
        <f>SUM(D29:D39)</f>
        <v>6817474.740000001</v>
      </c>
      <c r="E40" s="57">
        <f>SUM(E29:E39)</f>
        <v>6817474.740000001</v>
      </c>
      <c r="F40" s="58">
        <f>SUM(F29:F39)</f>
        <v>6817474.740000002</v>
      </c>
      <c r="G40" s="57"/>
      <c r="H40" s="57"/>
      <c r="I40" s="57">
        <f>SUM(I29:I39)</f>
        <v>6817474.740000002</v>
      </c>
      <c r="J40" s="57">
        <f>SUM(J29:J39)</f>
        <v>0</v>
      </c>
      <c r="K40" s="59">
        <f>SUM(K29:K39)</f>
        <v>0</v>
      </c>
    </row>
    <row r="41" spans="1:12" ht="12.75">
      <c r="A41" s="96" t="s">
        <v>44</v>
      </c>
      <c r="B41" s="47">
        <v>212</v>
      </c>
      <c r="C41" s="49" t="s">
        <v>109</v>
      </c>
      <c r="D41" s="78">
        <f>18075709-152912+2103770+924601</f>
        <v>20951168</v>
      </c>
      <c r="E41" s="78">
        <f>3715276-152912+6656537+2631654+100000+5072242+2003770+924601</f>
        <v>20951168</v>
      </c>
      <c r="F41" s="78">
        <f>477943.53+189047+842456.22+7332.59+568076.94+189719+7645+744426.2+535717.52+1625771.01+1817415.57+3213350.42+1319490.28+150820.58+1261343.14+1185090.03+753600+168358.21+2162224.87+3731339.89</f>
        <v>20951168</v>
      </c>
      <c r="G41" s="78"/>
      <c r="H41" s="78"/>
      <c r="I41" s="78">
        <f aca="true" t="shared" si="3" ref="I41:I47">F41</f>
        <v>20951168</v>
      </c>
      <c r="J41" s="78">
        <f aca="true" t="shared" si="4" ref="J41:J47">D41-F41</f>
        <v>0</v>
      </c>
      <c r="K41" s="79">
        <f aca="true" t="shared" si="5" ref="K41:K47">E41-F41</f>
        <v>0</v>
      </c>
      <c r="L41" s="73"/>
    </row>
    <row r="42" spans="1:11" ht="12.75">
      <c r="A42" s="96" t="s">
        <v>46</v>
      </c>
      <c r="B42" s="47">
        <v>213</v>
      </c>
      <c r="C42" s="49" t="s">
        <v>110</v>
      </c>
      <c r="D42" s="78">
        <f>80400-1200</f>
        <v>79200</v>
      </c>
      <c r="E42" s="78">
        <f>13400+20100+20100-1200+26800</f>
        <v>79200</v>
      </c>
      <c r="F42" s="78">
        <f>3550.06+9849.94+3195.98+6400+10504.02+2366.8+6419.23+10113.97+2689.46+6776.93+17333.61</f>
        <v>79200</v>
      </c>
      <c r="G42" s="78"/>
      <c r="H42" s="78"/>
      <c r="I42" s="78">
        <f t="shared" si="3"/>
        <v>79200</v>
      </c>
      <c r="J42" s="78">
        <f t="shared" si="4"/>
        <v>0</v>
      </c>
      <c r="K42" s="79">
        <f t="shared" si="5"/>
        <v>0</v>
      </c>
    </row>
    <row r="43" spans="1:12" ht="12" customHeight="1">
      <c r="A43" s="96" t="s">
        <v>81</v>
      </c>
      <c r="B43" s="47">
        <v>214</v>
      </c>
      <c r="C43" s="49" t="s">
        <v>111</v>
      </c>
      <c r="D43" s="78">
        <f>6181891+152912+514282+229520</f>
        <v>7078605</v>
      </c>
      <c r="E43" s="78">
        <f>1059654+152912+2011823+1164737-152912+1945677+667194+229520</f>
        <v>7078605</v>
      </c>
      <c r="F43" s="78">
        <f>7303+81693.26+3000.62+361572.36+28507.83+30006.17+46509.57+0.72+125490.6+3769+55959.24+2995.24+207193.17+29274.85+29952.25+46426.12+152912+577235.32+660772.01-162482.43-52776.26+989074.36+765052.34+41786.34+204986.32+778129.63+689424.65+1374836.72</f>
        <v>7078605</v>
      </c>
      <c r="G43" s="80"/>
      <c r="H43" s="78"/>
      <c r="I43" s="78">
        <f t="shared" si="3"/>
        <v>7078605</v>
      </c>
      <c r="J43" s="78">
        <f t="shared" si="4"/>
        <v>0</v>
      </c>
      <c r="K43" s="79">
        <f t="shared" si="5"/>
        <v>0</v>
      </c>
      <c r="L43" s="73"/>
    </row>
    <row r="44" spans="1:11" ht="12" customHeight="1">
      <c r="A44" s="96" t="s">
        <v>82</v>
      </c>
      <c r="B44" s="47">
        <v>215</v>
      </c>
      <c r="C44" s="49" t="s">
        <v>116</v>
      </c>
      <c r="D44" s="78">
        <f>882302-186098.99</f>
        <v>696203.01</v>
      </c>
      <c r="E44" s="78">
        <f>882302-186098.99</f>
        <v>696203.01</v>
      </c>
      <c r="F44" s="78">
        <f>149097.74+248909.65+298195.62</f>
        <v>696203.01</v>
      </c>
      <c r="G44" s="81"/>
      <c r="H44" s="81"/>
      <c r="I44" s="78">
        <f t="shared" si="3"/>
        <v>696203.01</v>
      </c>
      <c r="J44" s="78">
        <f t="shared" si="4"/>
        <v>0</v>
      </c>
      <c r="K44" s="79">
        <f t="shared" si="5"/>
        <v>0</v>
      </c>
    </row>
    <row r="45" spans="1:11" ht="12" customHeight="1">
      <c r="A45" s="96" t="s">
        <v>46</v>
      </c>
      <c r="B45" s="47">
        <v>216</v>
      </c>
      <c r="C45" s="49" t="s">
        <v>112</v>
      </c>
      <c r="D45" s="78">
        <f>600000-10000+1223614</f>
        <v>1813614</v>
      </c>
      <c r="E45" s="78">
        <f>100000+150000+150000+200000-10000+1223614</f>
        <v>1813614</v>
      </c>
      <c r="F45" s="78">
        <f>84465+15535+49000+49000+52000+46000+49000+55000+43000+1272614+98000</f>
        <v>1813614</v>
      </c>
      <c r="G45" s="82"/>
      <c r="H45" s="78"/>
      <c r="I45" s="78">
        <f t="shared" si="3"/>
        <v>1813614</v>
      </c>
      <c r="J45" s="78">
        <f t="shared" si="4"/>
        <v>0</v>
      </c>
      <c r="K45" s="79">
        <f t="shared" si="5"/>
        <v>0</v>
      </c>
    </row>
    <row r="46" spans="1:11" ht="12.75">
      <c r="A46" s="96" t="s">
        <v>53</v>
      </c>
      <c r="B46" s="47">
        <v>217</v>
      </c>
      <c r="C46" s="49" t="s">
        <v>113</v>
      </c>
      <c r="D46" s="78">
        <f>1483808-1223614+128717.71</f>
        <v>388911.71</v>
      </c>
      <c r="E46" s="78">
        <f>1328600+155208-1223614+128717.71</f>
        <v>388911.71</v>
      </c>
      <c r="F46" s="78">
        <f>155208+225300.41+8403.3</f>
        <v>388911.71</v>
      </c>
      <c r="G46" s="81"/>
      <c r="H46" s="81"/>
      <c r="I46" s="78">
        <f t="shared" si="3"/>
        <v>388911.71</v>
      </c>
      <c r="J46" s="78">
        <f t="shared" si="4"/>
        <v>0</v>
      </c>
      <c r="K46" s="79">
        <f t="shared" si="5"/>
        <v>0</v>
      </c>
    </row>
    <row r="47" spans="1:11" ht="12.75">
      <c r="A47" s="96" t="s">
        <v>84</v>
      </c>
      <c r="B47" s="47">
        <v>218</v>
      </c>
      <c r="C47" s="49" t="s">
        <v>114</v>
      </c>
      <c r="D47" s="78">
        <f>50000+57381.28</f>
        <v>107381.28</v>
      </c>
      <c r="E47" s="78">
        <f>50000+57381.28</f>
        <v>107381.28</v>
      </c>
      <c r="F47" s="78">
        <f>26473.59+54312.56+26595.13</f>
        <v>107381.28</v>
      </c>
      <c r="G47" s="78"/>
      <c r="H47" s="78"/>
      <c r="I47" s="78">
        <f t="shared" si="3"/>
        <v>107381.28</v>
      </c>
      <c r="J47" s="78">
        <f t="shared" si="4"/>
        <v>0</v>
      </c>
      <c r="K47" s="79">
        <f t="shared" si="5"/>
        <v>0</v>
      </c>
    </row>
    <row r="48" spans="1:13" ht="12.75">
      <c r="A48" s="97" t="s">
        <v>123</v>
      </c>
      <c r="B48" s="55"/>
      <c r="C48" s="56"/>
      <c r="D48" s="57">
        <f>SUM(D41:D47)</f>
        <v>31115083.000000004</v>
      </c>
      <c r="E48" s="57">
        <f>SUM(E41:E47)</f>
        <v>31115083.000000004</v>
      </c>
      <c r="F48" s="58">
        <f>SUM(F41:F47)</f>
        <v>31115083.000000004</v>
      </c>
      <c r="G48" s="57"/>
      <c r="H48" s="57"/>
      <c r="I48" s="57">
        <f>SUM(I41:I47)</f>
        <v>31115083.000000004</v>
      </c>
      <c r="J48" s="57">
        <f>SUM(J41:J47)</f>
        <v>0</v>
      </c>
      <c r="K48" s="59">
        <f>SUM(K41:K47)</f>
        <v>0</v>
      </c>
      <c r="M48" s="68"/>
    </row>
    <row r="49" spans="1:11" ht="12.75">
      <c r="A49" s="96" t="s">
        <v>44</v>
      </c>
      <c r="B49" s="47">
        <v>219</v>
      </c>
      <c r="C49" s="49" t="s">
        <v>137</v>
      </c>
      <c r="D49" s="78">
        <f>484320+31.71+1384.3</f>
        <v>485736.01</v>
      </c>
      <c r="E49" s="78">
        <f>76684+189692+56504-4000.15+161440+4000.15+31.71+1384.3</f>
        <v>485736.01</v>
      </c>
      <c r="F49" s="78">
        <f>38210+37576.22+39756.93+40013.85+110819+32555.67+19948.18-3537.29+43136.92+42806.16+84450.37</f>
        <v>485736.01</v>
      </c>
      <c r="G49" s="78"/>
      <c r="H49" s="78"/>
      <c r="I49" s="78">
        <f>F49</f>
        <v>485736.01</v>
      </c>
      <c r="J49" s="78">
        <f>D49-F49</f>
        <v>0</v>
      </c>
      <c r="K49" s="52">
        <f>E49-F49</f>
        <v>0</v>
      </c>
    </row>
    <row r="50" spans="1:11" ht="12.75" customHeight="1">
      <c r="A50" s="96" t="s">
        <v>81</v>
      </c>
      <c r="B50" s="47">
        <v>220</v>
      </c>
      <c r="C50" s="49" t="s">
        <v>138</v>
      </c>
      <c r="D50" s="78">
        <f>165680-31.71+473.43</f>
        <v>166121.72</v>
      </c>
      <c r="E50" s="78">
        <f>26226+64875+19325-1368.05+55254+1368.05-31.71+473.43</f>
        <v>166121.72</v>
      </c>
      <c r="F50" s="78">
        <f>13067.82+12851.02+13596.92+13684.74+37900.09+11134.04+6823.32-1210.8+14752.83+14639.71+28882.03</f>
        <v>166121.72</v>
      </c>
      <c r="G50" s="78"/>
      <c r="H50" s="78"/>
      <c r="I50" s="78">
        <f>F50</f>
        <v>166121.72</v>
      </c>
      <c r="J50" s="78">
        <f>D50-F50</f>
        <v>0</v>
      </c>
      <c r="K50" s="52">
        <f>E50-F50</f>
        <v>0</v>
      </c>
    </row>
    <row r="51" spans="1:12" ht="12.75" customHeight="1">
      <c r="A51" s="97" t="s">
        <v>123</v>
      </c>
      <c r="B51" s="55"/>
      <c r="C51" s="56"/>
      <c r="D51" s="57">
        <f>SUM(D49:D50)</f>
        <v>651857.73</v>
      </c>
      <c r="E51" s="57">
        <f>SUM(E49:E50)</f>
        <v>651857.73</v>
      </c>
      <c r="F51" s="57">
        <f>SUM(F49:F50)</f>
        <v>651857.73</v>
      </c>
      <c r="G51" s="57"/>
      <c r="H51" s="57"/>
      <c r="I51" s="57">
        <f>SUM(I49:I50)</f>
        <v>651857.73</v>
      </c>
      <c r="J51" s="57">
        <f>SUM(J49:J50)</f>
        <v>0</v>
      </c>
      <c r="K51" s="59">
        <f>SUM(K49:K50)</f>
        <v>0</v>
      </c>
      <c r="L51" s="68"/>
    </row>
    <row r="52" spans="1:11" ht="12.75">
      <c r="A52" s="96" t="s">
        <v>83</v>
      </c>
      <c r="B52" s="47">
        <v>222</v>
      </c>
      <c r="C52" s="49" t="s">
        <v>108</v>
      </c>
      <c r="D52" s="78">
        <f>208500+157500-34026.6</f>
        <v>331973.4</v>
      </c>
      <c r="E52" s="78">
        <f>208500+294000-136500-34026.6</f>
        <v>331973.4</v>
      </c>
      <c r="F52" s="78">
        <f>224677.53+46695.87+12600+48000</f>
        <v>331973.4</v>
      </c>
      <c r="G52" s="51"/>
      <c r="H52" s="51"/>
      <c r="I52" s="51">
        <f>F52</f>
        <v>331973.4</v>
      </c>
      <c r="J52" s="51">
        <f>D52-F52</f>
        <v>0</v>
      </c>
      <c r="K52" s="52">
        <f>E52-F52</f>
        <v>0</v>
      </c>
    </row>
    <row r="53" spans="1:13" ht="12.75">
      <c r="A53" s="97" t="s">
        <v>123</v>
      </c>
      <c r="B53" s="55"/>
      <c r="C53" s="56"/>
      <c r="D53" s="57">
        <f>SUM(D52:D52)</f>
        <v>331973.4</v>
      </c>
      <c r="E53" s="57">
        <f>SUM(E52:E52)</f>
        <v>331973.4</v>
      </c>
      <c r="F53" s="57">
        <f>SUM(F52:F52)</f>
        <v>331973.4</v>
      </c>
      <c r="G53" s="57"/>
      <c r="H53" s="57"/>
      <c r="I53" s="57">
        <f>SUM(I52:I52)</f>
        <v>331973.4</v>
      </c>
      <c r="J53" s="57">
        <f>SUM(J52:J52)</f>
        <v>0</v>
      </c>
      <c r="K53" s="59">
        <f>SUM(K52:K52)</f>
        <v>0</v>
      </c>
      <c r="M53" s="68"/>
    </row>
    <row r="54" spans="1:11" ht="12.75">
      <c r="A54" s="96" t="s">
        <v>83</v>
      </c>
      <c r="B54" s="47">
        <v>223</v>
      </c>
      <c r="C54" s="49" t="s">
        <v>104</v>
      </c>
      <c r="D54" s="78">
        <v>5600</v>
      </c>
      <c r="E54" s="78">
        <f>5600</f>
        <v>5600</v>
      </c>
      <c r="F54" s="78">
        <f>5600</f>
        <v>5600</v>
      </c>
      <c r="G54" s="51"/>
      <c r="H54" s="51"/>
      <c r="I54" s="51">
        <f>F54</f>
        <v>5600</v>
      </c>
      <c r="J54" s="51">
        <f>D54-F54</f>
        <v>0</v>
      </c>
      <c r="K54" s="52">
        <f>E54-F54</f>
        <v>0</v>
      </c>
    </row>
    <row r="55" spans="1:11" s="40" customFormat="1" ht="12.75">
      <c r="A55" s="96" t="s">
        <v>53</v>
      </c>
      <c r="B55" s="47">
        <v>224</v>
      </c>
      <c r="C55" s="49" t="s">
        <v>105</v>
      </c>
      <c r="D55" s="78">
        <v>2000</v>
      </c>
      <c r="E55" s="78">
        <v>2000</v>
      </c>
      <c r="F55" s="78">
        <f>2000</f>
        <v>2000</v>
      </c>
      <c r="G55" s="41"/>
      <c r="H55" s="41"/>
      <c r="I55" s="51">
        <f>F55</f>
        <v>2000</v>
      </c>
      <c r="J55" s="51">
        <f>D55-F55</f>
        <v>0</v>
      </c>
      <c r="K55" s="52">
        <f>E55-F55</f>
        <v>0</v>
      </c>
    </row>
    <row r="56" spans="1:12" s="40" customFormat="1" ht="12.75" customHeight="1">
      <c r="A56" s="97" t="s">
        <v>123</v>
      </c>
      <c r="B56" s="55"/>
      <c r="C56" s="60"/>
      <c r="D56" s="57">
        <f>SUM(D54:D55)</f>
        <v>7600</v>
      </c>
      <c r="E56" s="57">
        <f>SUM(E54:E55)</f>
        <v>7600</v>
      </c>
      <c r="F56" s="57">
        <f>SUM(F54:F55)</f>
        <v>7600</v>
      </c>
      <c r="G56" s="58"/>
      <c r="H56" s="58"/>
      <c r="I56" s="57">
        <f>SUM(I54:I55)</f>
        <v>7600</v>
      </c>
      <c r="J56" s="57">
        <f>SUM(J54:J55)</f>
        <v>0</v>
      </c>
      <c r="K56" s="59">
        <f>SUM(K54:K55)</f>
        <v>0</v>
      </c>
      <c r="L56" s="71"/>
    </row>
    <row r="57" spans="1:11" s="40" customFormat="1" ht="12.75">
      <c r="A57" s="96" t="s">
        <v>53</v>
      </c>
      <c r="B57" s="47">
        <v>225</v>
      </c>
      <c r="C57" s="49" t="s">
        <v>115</v>
      </c>
      <c r="D57" s="78">
        <v>20000</v>
      </c>
      <c r="E57" s="78">
        <v>20000</v>
      </c>
      <c r="F57" s="78">
        <f>20000</f>
        <v>20000</v>
      </c>
      <c r="G57" s="41"/>
      <c r="H57" s="41"/>
      <c r="I57" s="51">
        <f>F57</f>
        <v>20000</v>
      </c>
      <c r="J57" s="51">
        <f>D57-F57</f>
        <v>0</v>
      </c>
      <c r="K57" s="52">
        <f>E57-F57</f>
        <v>0</v>
      </c>
    </row>
    <row r="58" spans="1:11" s="40" customFormat="1" ht="12.75">
      <c r="A58" s="97" t="s">
        <v>123</v>
      </c>
      <c r="B58" s="55"/>
      <c r="C58" s="60"/>
      <c r="D58" s="57">
        <f>SUM(D57)</f>
        <v>20000</v>
      </c>
      <c r="E58" s="57">
        <f>SUM(E57)</f>
        <v>20000</v>
      </c>
      <c r="F58" s="57">
        <f>SUM(F57)</f>
        <v>20000</v>
      </c>
      <c r="G58" s="58"/>
      <c r="H58" s="58"/>
      <c r="I58" s="57">
        <f>SUM(I57)</f>
        <v>20000</v>
      </c>
      <c r="J58" s="57">
        <f>SUM(J57)</f>
        <v>0</v>
      </c>
      <c r="K58" s="59">
        <f>SUM(K57)</f>
        <v>0</v>
      </c>
    </row>
    <row r="59" spans="1:11" ht="12.75">
      <c r="A59" s="96" t="s">
        <v>83</v>
      </c>
      <c r="B59" s="47">
        <v>226</v>
      </c>
      <c r="C59" s="49" t="s">
        <v>106</v>
      </c>
      <c r="D59" s="78">
        <f>1880900+238186.88</f>
        <v>2119086.88</v>
      </c>
      <c r="E59" s="78">
        <f>574350+470820+175190+660540+238186.88</f>
        <v>2119086.88</v>
      </c>
      <c r="F59" s="78">
        <f>1.57+179763.56+122791.24+155526.02+28795.27+87472.34+179755.69+208663.72+29940.47+68295+159355.12+231129.88+225846.5+441750.5</f>
        <v>2119086.88</v>
      </c>
      <c r="G59" s="51"/>
      <c r="H59" s="51"/>
      <c r="I59" s="51">
        <f>F59</f>
        <v>2119086.88</v>
      </c>
      <c r="J59" s="51">
        <f>D59-F59</f>
        <v>0</v>
      </c>
      <c r="K59" s="79">
        <f>E59-F59</f>
        <v>0</v>
      </c>
    </row>
    <row r="60" spans="1:11" ht="12.75">
      <c r="A60" s="97" t="s">
        <v>123</v>
      </c>
      <c r="B60" s="61" t="s">
        <v>136</v>
      </c>
      <c r="C60" s="53"/>
      <c r="D60" s="57">
        <f>SUM(D59)</f>
        <v>2119086.88</v>
      </c>
      <c r="E60" s="57">
        <f>SUM(E59)</f>
        <v>2119086.88</v>
      </c>
      <c r="F60" s="57">
        <f>SUM(F59)</f>
        <v>2119086.88</v>
      </c>
      <c r="G60" s="54"/>
      <c r="H60" s="54"/>
      <c r="I60" s="57">
        <f>SUM(I59)</f>
        <v>2119086.88</v>
      </c>
      <c r="J60" s="57">
        <f>SUM(J59)</f>
        <v>0</v>
      </c>
      <c r="K60" s="59">
        <f>SUM(K59)</f>
        <v>0</v>
      </c>
    </row>
    <row r="61" spans="1:11" ht="12.75">
      <c r="A61" s="98" t="s">
        <v>82</v>
      </c>
      <c r="B61" s="44">
        <v>227</v>
      </c>
      <c r="C61" s="62" t="s">
        <v>107</v>
      </c>
      <c r="D61" s="63">
        <v>0</v>
      </c>
      <c r="E61" s="63">
        <v>0</v>
      </c>
      <c r="F61" s="63">
        <v>0</v>
      </c>
      <c r="G61" s="63"/>
      <c r="H61" s="63"/>
      <c r="I61" s="63">
        <f>F61</f>
        <v>0</v>
      </c>
      <c r="J61" s="63">
        <f>D61-F61</f>
        <v>0</v>
      </c>
      <c r="K61" s="64">
        <f>E61-F61</f>
        <v>0</v>
      </c>
    </row>
    <row r="62" spans="1:11" ht="12.75">
      <c r="A62" s="112" t="s">
        <v>123</v>
      </c>
      <c r="B62" s="65"/>
      <c r="C62" s="66"/>
      <c r="D62" s="67">
        <f>SUM(D61)</f>
        <v>0</v>
      </c>
      <c r="E62" s="67">
        <f>SUM(E61)</f>
        <v>0</v>
      </c>
      <c r="F62" s="67">
        <f>SUM(F61)</f>
        <v>0</v>
      </c>
      <c r="G62" s="67"/>
      <c r="H62" s="67"/>
      <c r="I62" s="67">
        <f>SUM(I61)</f>
        <v>0</v>
      </c>
      <c r="J62" s="67">
        <f>SUM(J61)</f>
        <v>0</v>
      </c>
      <c r="K62" s="99">
        <f>SUM(K61)</f>
        <v>0</v>
      </c>
    </row>
    <row r="63" spans="1:11" ht="12.75">
      <c r="A63" s="100"/>
      <c r="B63" s="75">
        <v>228</v>
      </c>
      <c r="C63" s="76" t="s">
        <v>119</v>
      </c>
      <c r="D63" s="83">
        <v>281426</v>
      </c>
      <c r="E63" s="83">
        <v>281426</v>
      </c>
      <c r="F63" s="77">
        <f>281426</f>
        <v>281426</v>
      </c>
      <c r="G63" s="77"/>
      <c r="H63" s="77"/>
      <c r="I63" s="77">
        <f>F63</f>
        <v>281426</v>
      </c>
      <c r="J63" s="77">
        <f>D63-F63</f>
        <v>0</v>
      </c>
      <c r="K63" s="101">
        <f>E63-F63</f>
        <v>0</v>
      </c>
    </row>
    <row r="64" spans="1:11" ht="12.75">
      <c r="A64" s="97" t="s">
        <v>123</v>
      </c>
      <c r="B64" s="55"/>
      <c r="C64" s="74"/>
      <c r="D64" s="57">
        <f>SUM(D63)</f>
        <v>281426</v>
      </c>
      <c r="E64" s="57">
        <f>SUM(E63)</f>
        <v>281426</v>
      </c>
      <c r="F64" s="57">
        <f>SUM(F63)</f>
        <v>281426</v>
      </c>
      <c r="G64" s="57"/>
      <c r="H64" s="57"/>
      <c r="I64" s="57">
        <f>SUM(I63)</f>
        <v>281426</v>
      </c>
      <c r="J64" s="57">
        <f>SUM(J63)</f>
        <v>0</v>
      </c>
      <c r="K64" s="59">
        <f>SUM(K63)</f>
        <v>0</v>
      </c>
    </row>
    <row r="65" spans="1:11" ht="25.5" thickBot="1">
      <c r="A65" s="102" t="s">
        <v>54</v>
      </c>
      <c r="B65" s="103" t="s">
        <v>55</v>
      </c>
      <c r="C65" s="104" t="s">
        <v>33</v>
      </c>
      <c r="D65" s="105" t="s">
        <v>33</v>
      </c>
      <c r="E65" s="105" t="s">
        <v>33</v>
      </c>
      <c r="F65" s="106">
        <f>-F27</f>
        <v>-41344501.75000001</v>
      </c>
      <c r="G65" s="107" t="s">
        <v>34</v>
      </c>
      <c r="H65" s="107" t="s">
        <v>34</v>
      </c>
      <c r="I65" s="106">
        <f>F65</f>
        <v>-41344501.75000001</v>
      </c>
      <c r="J65" s="108" t="s">
        <v>33</v>
      </c>
      <c r="K65" s="109" t="s">
        <v>33</v>
      </c>
    </row>
    <row r="66" spans="2:11" ht="11.25" customHeight="1">
      <c r="B66" s="70"/>
      <c r="C66" s="70"/>
      <c r="D66" s="70"/>
      <c r="E66" s="70"/>
      <c r="F66" s="123"/>
      <c r="G66" s="123"/>
      <c r="H66" s="123"/>
      <c r="I66" s="123"/>
      <c r="J66" s="123"/>
      <c r="K66" s="123"/>
    </row>
    <row r="67" spans="1:9" ht="12">
      <c r="A67" s="126" t="s">
        <v>130</v>
      </c>
      <c r="B67" s="126"/>
      <c r="C67" s="126"/>
      <c r="D67" s="126"/>
      <c r="E67" s="126"/>
      <c r="F67" s="126"/>
      <c r="G67" s="126"/>
      <c r="H67" s="126"/>
      <c r="I67" s="126"/>
    </row>
    <row r="68" ht="15" customHeight="1"/>
    <row r="69" spans="1:9" ht="44.25" customHeight="1">
      <c r="A69" s="116" t="s">
        <v>14</v>
      </c>
      <c r="B69" s="116" t="s">
        <v>15</v>
      </c>
      <c r="C69" s="116" t="s">
        <v>90</v>
      </c>
      <c r="D69" s="116" t="s">
        <v>16</v>
      </c>
      <c r="E69" s="118" t="s">
        <v>17</v>
      </c>
      <c r="F69" s="118"/>
      <c r="G69" s="118"/>
      <c r="H69" s="118"/>
      <c r="I69" s="116" t="s">
        <v>18</v>
      </c>
    </row>
    <row r="70" spans="1:9" ht="38.25">
      <c r="A70" s="117"/>
      <c r="B70" s="117"/>
      <c r="C70" s="117"/>
      <c r="D70" s="117"/>
      <c r="E70" s="48" t="s">
        <v>87</v>
      </c>
      <c r="F70" s="48" t="s">
        <v>19</v>
      </c>
      <c r="G70" s="48" t="s">
        <v>20</v>
      </c>
      <c r="H70" s="48" t="s">
        <v>21</v>
      </c>
      <c r="I70" s="117"/>
    </row>
    <row r="71" spans="1:9" ht="12.75" thickBot="1">
      <c r="A71" s="8" t="s">
        <v>22</v>
      </c>
      <c r="B71" s="8" t="s">
        <v>23</v>
      </c>
      <c r="C71" s="8" t="s">
        <v>24</v>
      </c>
      <c r="D71" s="8" t="s">
        <v>25</v>
      </c>
      <c r="E71" s="8" t="s">
        <v>26</v>
      </c>
      <c r="F71" s="8" t="s">
        <v>27</v>
      </c>
      <c r="G71" s="8" t="s">
        <v>28</v>
      </c>
      <c r="H71" s="8" t="s">
        <v>29</v>
      </c>
      <c r="I71" s="8" t="s">
        <v>30</v>
      </c>
    </row>
    <row r="72" spans="1:9" ht="24">
      <c r="A72" s="18" t="s">
        <v>131</v>
      </c>
      <c r="B72" s="10" t="s">
        <v>56</v>
      </c>
      <c r="C72" s="11" t="s">
        <v>33</v>
      </c>
      <c r="D72" s="1" t="s">
        <v>34</v>
      </c>
      <c r="E72" s="24">
        <f>F27</f>
        <v>41344501.75000001</v>
      </c>
      <c r="F72" s="1" t="s">
        <v>34</v>
      </c>
      <c r="G72" s="1" t="s">
        <v>34</v>
      </c>
      <c r="H72" s="24">
        <f>F27</f>
        <v>41344501.75000001</v>
      </c>
      <c r="I72" s="2" t="s">
        <v>34</v>
      </c>
    </row>
    <row r="73" spans="1:9" ht="12" customHeight="1">
      <c r="A73" s="12" t="s">
        <v>35</v>
      </c>
      <c r="B73" s="13"/>
      <c r="C73" s="14"/>
      <c r="D73" s="14"/>
      <c r="E73" s="14"/>
      <c r="F73" s="14"/>
      <c r="G73" s="14"/>
      <c r="H73" s="14"/>
      <c r="I73" s="15"/>
    </row>
    <row r="74" spans="1:9" ht="24">
      <c r="A74" s="25" t="s">
        <v>57</v>
      </c>
      <c r="B74" s="19" t="s">
        <v>58</v>
      </c>
      <c r="C74" s="22" t="s">
        <v>33</v>
      </c>
      <c r="D74" s="20" t="s">
        <v>34</v>
      </c>
      <c r="E74" s="20" t="s">
        <v>34</v>
      </c>
      <c r="F74" s="20" t="s">
        <v>34</v>
      </c>
      <c r="G74" s="20" t="s">
        <v>34</v>
      </c>
      <c r="H74" s="20" t="s">
        <v>34</v>
      </c>
      <c r="I74" s="21" t="s">
        <v>34</v>
      </c>
    </row>
    <row r="75" spans="1:9" ht="12">
      <c r="A75" s="26" t="s">
        <v>59</v>
      </c>
      <c r="B75" s="13"/>
      <c r="C75" s="27"/>
      <c r="D75" s="28"/>
      <c r="E75" s="28"/>
      <c r="F75" s="28"/>
      <c r="G75" s="28"/>
      <c r="H75" s="28"/>
      <c r="I75" s="29"/>
    </row>
    <row r="76" spans="1:9" ht="12">
      <c r="A76" s="25" t="s">
        <v>60</v>
      </c>
      <c r="B76" s="19" t="s">
        <v>61</v>
      </c>
      <c r="C76" s="22" t="s">
        <v>33</v>
      </c>
      <c r="D76" s="20" t="s">
        <v>34</v>
      </c>
      <c r="E76" s="20" t="s">
        <v>34</v>
      </c>
      <c r="F76" s="20" t="s">
        <v>34</v>
      </c>
      <c r="G76" s="20" t="s">
        <v>34</v>
      </c>
      <c r="H76" s="20" t="s">
        <v>34</v>
      </c>
      <c r="I76" s="21" t="s">
        <v>34</v>
      </c>
    </row>
    <row r="77" spans="1:9" ht="12">
      <c r="A77" s="26" t="s">
        <v>62</v>
      </c>
      <c r="B77" s="13"/>
      <c r="C77" s="27"/>
      <c r="D77" s="28"/>
      <c r="E77" s="28"/>
      <c r="F77" s="28"/>
      <c r="G77" s="28"/>
      <c r="H77" s="28"/>
      <c r="I77" s="29"/>
    </row>
    <row r="78" spans="1:9" ht="12">
      <c r="A78" s="18" t="s">
        <v>63</v>
      </c>
      <c r="B78" s="30" t="s">
        <v>64</v>
      </c>
      <c r="C78" s="9"/>
      <c r="D78" s="31" t="s">
        <v>34</v>
      </c>
      <c r="E78" s="6" t="s">
        <v>33</v>
      </c>
      <c r="F78" s="31" t="s">
        <v>34</v>
      </c>
      <c r="G78" s="31" t="s">
        <v>34</v>
      </c>
      <c r="H78" s="31" t="s">
        <v>34</v>
      </c>
      <c r="I78" s="32" t="s">
        <v>33</v>
      </c>
    </row>
    <row r="79" spans="1:9" ht="12">
      <c r="A79" s="18" t="s">
        <v>132</v>
      </c>
      <c r="B79" s="30">
        <v>710</v>
      </c>
      <c r="C79" s="16"/>
      <c r="D79" s="31"/>
      <c r="E79" s="6"/>
      <c r="F79" s="31"/>
      <c r="G79" s="31"/>
      <c r="H79" s="31"/>
      <c r="I79" s="32"/>
    </row>
    <row r="80" spans="1:9" ht="12">
      <c r="A80" s="18" t="s">
        <v>133</v>
      </c>
      <c r="B80" s="30">
        <v>720</v>
      </c>
      <c r="C80" s="16"/>
      <c r="D80" s="31"/>
      <c r="E80" s="6"/>
      <c r="F80" s="31"/>
      <c r="G80" s="31"/>
      <c r="H80" s="31"/>
      <c r="I80" s="32"/>
    </row>
    <row r="81" spans="1:9" ht="24">
      <c r="A81" s="18" t="s">
        <v>135</v>
      </c>
      <c r="B81" s="30" t="s">
        <v>65</v>
      </c>
      <c r="C81" s="33" t="s">
        <v>33</v>
      </c>
      <c r="D81" s="6" t="s">
        <v>33</v>
      </c>
      <c r="E81" s="31">
        <f>E82+E86</f>
        <v>41344501.75000001</v>
      </c>
      <c r="F81" s="31" t="s">
        <v>34</v>
      </c>
      <c r="G81" s="31" t="s">
        <v>34</v>
      </c>
      <c r="H81" s="31">
        <v>41344501.75</v>
      </c>
      <c r="I81" s="32" t="s">
        <v>33</v>
      </c>
    </row>
    <row r="82" spans="1:9" ht="36">
      <c r="A82" s="18" t="s">
        <v>134</v>
      </c>
      <c r="B82" s="19" t="s">
        <v>66</v>
      </c>
      <c r="C82" s="34" t="s">
        <v>33</v>
      </c>
      <c r="D82" s="6" t="s">
        <v>33</v>
      </c>
      <c r="E82" s="31">
        <f>E84+E85</f>
        <v>41344501.75000001</v>
      </c>
      <c r="F82" s="31" t="s">
        <v>34</v>
      </c>
      <c r="G82" s="6" t="s">
        <v>33</v>
      </c>
      <c r="H82" s="31">
        <v>41344501.75</v>
      </c>
      <c r="I82" s="32" t="s">
        <v>33</v>
      </c>
    </row>
    <row r="83" spans="1:9" ht="12">
      <c r="A83" s="26" t="s">
        <v>59</v>
      </c>
      <c r="B83" s="13"/>
      <c r="C83" s="27"/>
      <c r="D83" s="28"/>
      <c r="E83" s="28"/>
      <c r="F83" s="28"/>
      <c r="G83" s="28"/>
      <c r="H83" s="28"/>
      <c r="I83" s="29"/>
    </row>
    <row r="84" spans="1:9" ht="24">
      <c r="A84" s="25" t="s">
        <v>67</v>
      </c>
      <c r="B84" s="19" t="s">
        <v>68</v>
      </c>
      <c r="C84" s="35" t="s">
        <v>33</v>
      </c>
      <c r="D84" s="22" t="s">
        <v>33</v>
      </c>
      <c r="E84" s="20"/>
      <c r="F84" s="22" t="s">
        <v>33</v>
      </c>
      <c r="G84" s="22" t="s">
        <v>33</v>
      </c>
      <c r="H84" s="20" t="s">
        <v>34</v>
      </c>
      <c r="I84" s="23" t="s">
        <v>33</v>
      </c>
    </row>
    <row r="85" spans="1:9" ht="24">
      <c r="A85" s="18" t="s">
        <v>69</v>
      </c>
      <c r="B85" s="19" t="s">
        <v>70</v>
      </c>
      <c r="C85" s="33" t="s">
        <v>33</v>
      </c>
      <c r="D85" s="6" t="s">
        <v>33</v>
      </c>
      <c r="E85" s="36">
        <f>F27</f>
        <v>41344501.75000001</v>
      </c>
      <c r="F85" s="31" t="s">
        <v>34</v>
      </c>
      <c r="G85" s="6" t="s">
        <v>33</v>
      </c>
      <c r="H85" s="31">
        <v>41344501.75</v>
      </c>
      <c r="I85" s="32" t="s">
        <v>33</v>
      </c>
    </row>
    <row r="86" spans="1:9" ht="24">
      <c r="A86" s="18" t="s">
        <v>71</v>
      </c>
      <c r="B86" s="19" t="s">
        <v>72</v>
      </c>
      <c r="C86" s="34" t="s">
        <v>33</v>
      </c>
      <c r="D86" s="6" t="s">
        <v>33</v>
      </c>
      <c r="E86" s="6"/>
      <c r="F86" s="31" t="s">
        <v>34</v>
      </c>
      <c r="G86" s="31" t="s">
        <v>34</v>
      </c>
      <c r="H86" s="31" t="s">
        <v>34</v>
      </c>
      <c r="I86" s="32" t="s">
        <v>33</v>
      </c>
    </row>
    <row r="87" spans="1:9" ht="12">
      <c r="A87" s="26" t="s">
        <v>73</v>
      </c>
      <c r="B87" s="13"/>
      <c r="C87" s="27"/>
      <c r="D87" s="28"/>
      <c r="E87" s="28"/>
      <c r="F87" s="28"/>
      <c r="G87" s="28"/>
      <c r="H87" s="28"/>
      <c r="I87" s="29"/>
    </row>
    <row r="88" spans="1:9" ht="12">
      <c r="A88" s="25" t="s">
        <v>74</v>
      </c>
      <c r="B88" s="19" t="s">
        <v>75</v>
      </c>
      <c r="C88" s="35" t="s">
        <v>33</v>
      </c>
      <c r="D88" s="22" t="s">
        <v>33</v>
      </c>
      <c r="E88" s="22" t="s">
        <v>33</v>
      </c>
      <c r="F88" s="20" t="s">
        <v>34</v>
      </c>
      <c r="G88" s="20" t="s">
        <v>34</v>
      </c>
      <c r="H88" s="20" t="s">
        <v>34</v>
      </c>
      <c r="I88" s="23" t="s">
        <v>33</v>
      </c>
    </row>
    <row r="89" spans="1:9" ht="12.75" thickBot="1">
      <c r="A89" s="18" t="s">
        <v>76</v>
      </c>
      <c r="B89" s="37" t="s">
        <v>77</v>
      </c>
      <c r="C89" s="33" t="s">
        <v>33</v>
      </c>
      <c r="D89" s="6" t="s">
        <v>33</v>
      </c>
      <c r="E89" s="6" t="s">
        <v>33</v>
      </c>
      <c r="F89" s="31" t="s">
        <v>34</v>
      </c>
      <c r="G89" s="31" t="s">
        <v>34</v>
      </c>
      <c r="H89" s="31" t="s">
        <v>34</v>
      </c>
      <c r="I89" s="32" t="s">
        <v>33</v>
      </c>
    </row>
    <row r="90" spans="2:9" ht="12">
      <c r="B90" s="17"/>
      <c r="C90" s="17"/>
      <c r="D90" s="17"/>
      <c r="E90" s="17"/>
      <c r="F90" s="17"/>
      <c r="G90" s="17"/>
      <c r="H90" s="17"/>
      <c r="I90" s="17"/>
    </row>
    <row r="91" spans="1:9" ht="12">
      <c r="A91" s="3" t="s">
        <v>126</v>
      </c>
      <c r="B91" s="70"/>
      <c r="C91" s="70"/>
      <c r="D91" s="70"/>
      <c r="E91" s="70"/>
      <c r="F91" s="70"/>
      <c r="G91" s="70"/>
      <c r="H91" s="70"/>
      <c r="I91" s="70"/>
    </row>
    <row r="92" spans="1:9" ht="12">
      <c r="A92" s="38"/>
      <c r="B92" s="70"/>
      <c r="C92" s="70"/>
      <c r="D92" s="70"/>
      <c r="E92" s="70"/>
      <c r="F92" s="70"/>
      <c r="G92" s="70"/>
      <c r="H92" s="70"/>
      <c r="I92" s="70"/>
    </row>
    <row r="93" spans="1:5" ht="12">
      <c r="A93" s="38" t="s">
        <v>117</v>
      </c>
      <c r="C93" s="3" t="s">
        <v>118</v>
      </c>
      <c r="E93" s="38" t="s">
        <v>78</v>
      </c>
    </row>
    <row r="94" spans="5:9" ht="12">
      <c r="E94" s="38" t="s">
        <v>79</v>
      </c>
      <c r="I94" s="3" t="s">
        <v>7</v>
      </c>
    </row>
    <row r="95" ht="12">
      <c r="E95" s="38"/>
    </row>
    <row r="97" spans="1:3" ht="12">
      <c r="A97" s="38" t="s">
        <v>80</v>
      </c>
      <c r="C97" s="3" t="s">
        <v>92</v>
      </c>
    </row>
    <row r="100" ht="12">
      <c r="A100" s="39"/>
    </row>
    <row r="101" ht="4.5" customHeight="1"/>
  </sheetData>
  <sheetProtection/>
  <mergeCells count="29">
    <mergeCell ref="A3:G3"/>
    <mergeCell ref="C24:C25"/>
    <mergeCell ref="D24:D25"/>
    <mergeCell ref="A1:G2"/>
    <mergeCell ref="B24:B25"/>
    <mergeCell ref="A24:A25"/>
    <mergeCell ref="C4:G5"/>
    <mergeCell ref="C6:G6"/>
    <mergeCell ref="A10:I10"/>
    <mergeCell ref="C12:C13"/>
    <mergeCell ref="D12:D13"/>
    <mergeCell ref="L22:L26"/>
    <mergeCell ref="A67:I67"/>
    <mergeCell ref="E12:H12"/>
    <mergeCell ref="E69:H69"/>
    <mergeCell ref="A18:C18"/>
    <mergeCell ref="A22:I22"/>
    <mergeCell ref="F24:I24"/>
    <mergeCell ref="F66:K66"/>
    <mergeCell ref="J24:K24"/>
    <mergeCell ref="E24:E25"/>
    <mergeCell ref="C69:C70"/>
    <mergeCell ref="D69:D70"/>
    <mergeCell ref="I69:I70"/>
    <mergeCell ref="A4:A5"/>
    <mergeCell ref="A12:A13"/>
    <mergeCell ref="B12:B13"/>
    <mergeCell ref="A69:A70"/>
    <mergeCell ref="B69:B70"/>
  </mergeCells>
  <printOptions horizontalCentered="1"/>
  <pageMargins left="0.1968503937007874" right="0.15748031496062992" top="0.9" bottom="0" header="0.92" footer="0.17"/>
  <pageSetup horizontalDpi="600" verticalDpi="600" orientation="landscape" paperSize="9" scale="82" r:id="rId2"/>
  <rowBreaks count="2" manualBreakCount="2">
    <brk id="21" max="255" man="1"/>
    <brk id="65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Светлана</cp:lastModifiedBy>
  <cp:lastPrinted>2012-01-16T14:33:12Z</cp:lastPrinted>
  <dcterms:created xsi:type="dcterms:W3CDTF">2009-06-03T07:32:38Z</dcterms:created>
  <dcterms:modified xsi:type="dcterms:W3CDTF">2012-01-16T15:06:44Z</dcterms:modified>
  <cp:category/>
  <cp:version/>
  <cp:contentType/>
  <cp:contentStatus/>
</cp:coreProperties>
</file>